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0" yWindow="-240" windowWidth="15465" windowHeight="12450" tabRatio="700"/>
  </bookViews>
  <sheets>
    <sheet name="СВОД" sheetId="3" r:id="rId1"/>
    <sheet name="АДМИНИСТРАЦИЯ" sheetId="10" state="hidden" r:id="rId2"/>
    <sheet name="ОТДЕЛ ОБРАЗОВАНИЯ" sheetId="11" state="hidden" r:id="rId3"/>
    <sheet name="ОТДЕЛ КУЛЬТУРЫ" sheetId="12" state="hidden" r:id="rId4"/>
    <sheet name="Дума" sheetId="13" state="hidden" r:id="rId5"/>
    <sheet name="КСП" sheetId="15" state="hidden" r:id="rId6"/>
    <sheet name="ФУ" sheetId="14" state="hidden" r:id="rId7"/>
    <sheet name="Соответствие РОМСУ" sheetId="17" state="hidden" r:id="rId8"/>
  </sheets>
  <definedNames>
    <definedName name="_xlnm.Print_Titles" localSheetId="1">АДМИНИСТРАЦИЯ!$4:$6</definedName>
    <definedName name="_xlnm.Print_Titles" localSheetId="4">Дума!$4:$6</definedName>
    <definedName name="_xlnm.Print_Titles" localSheetId="5">КСП!$4:$6</definedName>
    <definedName name="_xlnm.Print_Titles" localSheetId="3">'ОТДЕЛ КУЛЬТУРЫ'!$4:$6</definedName>
    <definedName name="_xlnm.Print_Titles" localSheetId="2">'ОТДЕЛ ОБРАЗОВАНИЯ'!$4:$6</definedName>
    <definedName name="_xlnm.Print_Titles" localSheetId="0">СВОД!$3:$5</definedName>
    <definedName name="_xlnm.Print_Titles" localSheetId="6">ФУ!$4:$6</definedName>
    <definedName name="_xlnm.Print_Area" localSheetId="1">АДМИНИСТРАЦИЯ!$A$1:$DC$90</definedName>
    <definedName name="_xlnm.Print_Area" localSheetId="4">Дума!$A$1:$Y$30</definedName>
    <definedName name="_xlnm.Print_Area" localSheetId="5">КСП!$A$1:$S$29</definedName>
    <definedName name="_xlnm.Print_Area" localSheetId="3">'ОТДЕЛ КУЛЬТУРЫ'!$A$1:$BB$41</definedName>
    <definedName name="_xlnm.Print_Area" localSheetId="2">'ОТДЕЛ ОБРАЗОВАНИЯ'!$A$1:$BH$47</definedName>
    <definedName name="_xlnm.Print_Area" localSheetId="0">СВОД!$A$1:$Q$81</definedName>
    <definedName name="_xlnm.Print_Area" localSheetId="6">ФУ!$A$1:$AB$51</definedName>
  </definedNames>
  <calcPr calcId="144525"/>
</workbook>
</file>

<file path=xl/calcChain.xml><?xml version="1.0" encoding="utf-8"?>
<calcChain xmlns="http://schemas.openxmlformats.org/spreadsheetml/2006/main">
  <c r="AC14" i="12" l="1"/>
  <c r="S14" i="12"/>
  <c r="AE13" i="11"/>
  <c r="R12" i="11"/>
  <c r="AP42" i="10"/>
  <c r="BF14" i="10"/>
  <c r="AT16" i="10"/>
  <c r="T17" i="10"/>
  <c r="Q44" i="3" l="1"/>
  <c r="P44" i="3"/>
  <c r="O44" i="3"/>
  <c r="Q75" i="3"/>
  <c r="Q74" i="3"/>
  <c r="P75" i="3"/>
  <c r="P74" i="3"/>
  <c r="O75" i="3"/>
  <c r="O74" i="3"/>
  <c r="Q66" i="3"/>
  <c r="P66" i="3"/>
  <c r="O66" i="3"/>
  <c r="AB31" i="14"/>
  <c r="AB30" i="14"/>
  <c r="AB29" i="14"/>
  <c r="AB27" i="14"/>
  <c r="AB26" i="14"/>
  <c r="AB24" i="14"/>
  <c r="AB17" i="14"/>
  <c r="AB14" i="14"/>
  <c r="AB8" i="14"/>
  <c r="AE29" i="14"/>
  <c r="AE26" i="14"/>
  <c r="AE24" i="14"/>
  <c r="AE14" i="14"/>
  <c r="AE9" i="14"/>
  <c r="X14" i="14"/>
  <c r="X24" i="14"/>
  <c r="X29" i="14"/>
  <c r="X31" i="14"/>
  <c r="X30" i="14"/>
  <c r="X27" i="14"/>
  <c r="X17" i="14"/>
  <c r="AA29" i="14"/>
  <c r="AA26" i="14"/>
  <c r="AA24" i="14" s="1"/>
  <c r="AA14" i="14"/>
  <c r="AA9" i="14"/>
  <c r="W29" i="14"/>
  <c r="T27" i="14"/>
  <c r="W26" i="14"/>
  <c r="W24" i="14" s="1"/>
  <c r="T24" i="14" s="1"/>
  <c r="T31" i="14"/>
  <c r="T30" i="14"/>
  <c r="T17" i="14"/>
  <c r="W14" i="14"/>
  <c r="V14" i="14"/>
  <c r="W9" i="14"/>
  <c r="BG14" i="12"/>
  <c r="AW14" i="12"/>
  <c r="AM14" i="12"/>
  <c r="AM13" i="12"/>
  <c r="BP33" i="11"/>
  <c r="BP13" i="11"/>
  <c r="BO14" i="11"/>
  <c r="BN15" i="11"/>
  <c r="BM14" i="11"/>
  <c r="BL13" i="11"/>
  <c r="BL38" i="11"/>
  <c r="BK39" i="11"/>
  <c r="BK12" i="11"/>
  <c r="BE13" i="11"/>
  <c r="BE33" i="11"/>
  <c r="BD14" i="11"/>
  <c r="BC15" i="11"/>
  <c r="BB14" i="11"/>
  <c r="BA13" i="11"/>
  <c r="BA38" i="11"/>
  <c r="AZ39" i="11"/>
  <c r="AZ12" i="11"/>
  <c r="AT33" i="11"/>
  <c r="AS14" i="11"/>
  <c r="AR15" i="11"/>
  <c r="AP13" i="11"/>
  <c r="AP38" i="11"/>
  <c r="AO39" i="11"/>
  <c r="AO12" i="11"/>
  <c r="DT9" i="10"/>
  <c r="DT8" i="10" s="1"/>
  <c r="DP14" i="10"/>
  <c r="DO11" i="10"/>
  <c r="DL35" i="10"/>
  <c r="DK16" i="10"/>
  <c r="DG42" i="10"/>
  <c r="DE73" i="10"/>
  <c r="DE68" i="10"/>
  <c r="DE67" i="10"/>
  <c r="CS11" i="10"/>
  <c r="CP35" i="10"/>
  <c r="CO16" i="10"/>
  <c r="CK42" i="10"/>
  <c r="CI67" i="10"/>
  <c r="CI68" i="10"/>
  <c r="CI73" i="10"/>
  <c r="CD14" i="10"/>
  <c r="BY32" i="10"/>
  <c r="BX12" i="10"/>
  <c r="BW14" i="10"/>
  <c r="BW11" i="10"/>
  <c r="AE8" i="14" l="1"/>
  <c r="AA8" i="14"/>
  <c r="W8" i="14"/>
  <c r="T26" i="14"/>
  <c r="T29" i="14"/>
  <c r="BV40" i="10" l="1"/>
  <c r="BV11" i="10"/>
  <c r="BS35" i="10"/>
  <c r="BR16" i="10"/>
  <c r="BN42" i="10"/>
  <c r="BL67" i="10"/>
  <c r="BL68" i="10"/>
  <c r="BL73" i="10"/>
  <c r="N36" i="3" l="1"/>
  <c r="M36" i="3"/>
  <c r="AC13" i="12"/>
  <c r="S13" i="12"/>
  <c r="AA11" i="12"/>
  <c r="Q11" i="12"/>
  <c r="Y14" i="12"/>
  <c r="O14" i="12"/>
  <c r="AI33" i="11"/>
  <c r="W33" i="11"/>
  <c r="AI13" i="11"/>
  <c r="W13" i="11"/>
  <c r="AH20" i="11"/>
  <c r="AH21" i="11"/>
  <c r="V20" i="11"/>
  <c r="V21" i="11"/>
  <c r="AG15" i="11"/>
  <c r="U15" i="11"/>
  <c r="AF14" i="11"/>
  <c r="T14" i="11"/>
  <c r="S13" i="11"/>
  <c r="S38" i="11"/>
  <c r="AE38" i="11"/>
  <c r="R39" i="11"/>
  <c r="AD12" i="11"/>
  <c r="AD39" i="11"/>
  <c r="AI70" i="10"/>
  <c r="AI14" i="10"/>
  <c r="BG14" i="10"/>
  <c r="AH14" i="10"/>
  <c r="BC21" i="10"/>
  <c r="AE21" i="10"/>
  <c r="BB48" i="10"/>
  <c r="AD48" i="10"/>
  <c r="AC32" i="10"/>
  <c r="BA32" i="10"/>
  <c r="BA31" i="10"/>
  <c r="AC31" i="10"/>
  <c r="AZ12" i="10"/>
  <c r="AB12" i="10"/>
  <c r="AY11" i="10"/>
  <c r="AA11" i="10"/>
  <c r="AY14" i="10"/>
  <c r="AA14" i="10"/>
  <c r="AX40" i="10"/>
  <c r="Z40" i="10"/>
  <c r="Z11" i="10"/>
  <c r="AX11" i="10"/>
  <c r="AU35" i="10"/>
  <c r="W35" i="10"/>
  <c r="V16" i="10"/>
  <c r="AR17" i="10"/>
  <c r="AP81" i="10"/>
  <c r="R81" i="10"/>
  <c r="AP17" i="10"/>
  <c r="R17" i="10"/>
  <c r="R42" i="10"/>
  <c r="AP11" i="10"/>
  <c r="R11" i="10"/>
  <c r="AN42" i="10"/>
  <c r="P42" i="10"/>
  <c r="P68" i="10"/>
  <c r="P67" i="10"/>
  <c r="AN68" i="10"/>
  <c r="AN67" i="10"/>
  <c r="AN73" i="10"/>
  <c r="P73" i="10"/>
  <c r="AN43" i="10"/>
  <c r="P43" i="10"/>
  <c r="AM44" i="10"/>
  <c r="O44" i="10"/>
  <c r="BH9" i="10" l="1"/>
  <c r="BH41" i="10"/>
  <c r="BH54" i="10"/>
  <c r="BH61" i="10"/>
  <c r="BH66" i="10"/>
  <c r="AP62" i="10"/>
  <c r="BH60" i="10" l="1"/>
  <c r="BH8" i="10"/>
  <c r="N14" i="12"/>
  <c r="O11" i="13" l="1"/>
  <c r="N12" i="10" l="1"/>
  <c r="N13" i="10"/>
  <c r="N15" i="10"/>
  <c r="N18" i="10"/>
  <c r="N19" i="10"/>
  <c r="N20" i="10"/>
  <c r="N21" i="10"/>
  <c r="N22" i="10"/>
  <c r="N23" i="10"/>
  <c r="N24" i="10"/>
  <c r="N25" i="10"/>
  <c r="N27" i="10"/>
  <c r="N28" i="10"/>
  <c r="N29" i="10"/>
  <c r="N30" i="10"/>
  <c r="N31" i="10"/>
  <c r="N32" i="10"/>
  <c r="N33" i="10"/>
  <c r="N34" i="10"/>
  <c r="N37" i="10"/>
  <c r="N38" i="10"/>
  <c r="N39" i="10"/>
  <c r="N40" i="10"/>
  <c r="N10" i="10"/>
  <c r="AI45" i="10"/>
  <c r="AH45" i="10"/>
  <c r="AG45" i="10"/>
  <c r="AE45" i="10"/>
  <c r="AD45" i="10"/>
  <c r="AC45" i="10"/>
  <c r="AB45" i="10"/>
  <c r="AA45" i="10"/>
  <c r="Z45" i="10"/>
  <c r="Y45" i="10"/>
  <c r="X45" i="10"/>
  <c r="W45" i="10"/>
  <c r="V45" i="10"/>
  <c r="U45" i="10"/>
  <c r="T45" i="10"/>
  <c r="R45" i="10"/>
  <c r="P45" i="10"/>
  <c r="O45" i="10"/>
  <c r="N36" i="10"/>
  <c r="N35" i="10"/>
  <c r="N17" i="10"/>
  <c r="N16" i="10"/>
  <c r="AK83" i="10"/>
  <c r="AK80" i="10"/>
  <c r="AK66" i="10"/>
  <c r="AK61" i="10"/>
  <c r="AK57" i="10"/>
  <c r="AK54" i="10" s="1"/>
  <c r="AK41" i="10"/>
  <c r="AK9" i="10"/>
  <c r="N14" i="10" l="1"/>
  <c r="N26" i="10"/>
  <c r="N11" i="10"/>
  <c r="AK60" i="10"/>
  <c r="AK8" i="10" s="1"/>
  <c r="N9" i="10" l="1"/>
  <c r="BJ28" i="10"/>
  <c r="CF83" i="10"/>
  <c r="CF80" i="10"/>
  <c r="CF66" i="10"/>
  <c r="CF61" i="10"/>
  <c r="CF57" i="10"/>
  <c r="CF54" i="10" s="1"/>
  <c r="CF41" i="10"/>
  <c r="CF9" i="10"/>
  <c r="CF60" i="10" l="1"/>
  <c r="CF8" i="10" s="1"/>
  <c r="N12" i="11" l="1"/>
  <c r="M49" i="3" l="1"/>
  <c r="Q38" i="14"/>
  <c r="Q37" i="14"/>
  <c r="Q36" i="14"/>
  <c r="Q35" i="14"/>
  <c r="Q34" i="14"/>
  <c r="Q33" i="14"/>
  <c r="Q29" i="14"/>
  <c r="Q28" i="14"/>
  <c r="Q26" i="14"/>
  <c r="Q25" i="14"/>
  <c r="Q24" i="14"/>
  <c r="Q23" i="14"/>
  <c r="Q22" i="14"/>
  <c r="Q21" i="14"/>
  <c r="Q20" i="14"/>
  <c r="Q19" i="14"/>
  <c r="Q18" i="14"/>
  <c r="Q16" i="14"/>
  <c r="Q15" i="14"/>
  <c r="R14" i="14"/>
  <c r="Q14" i="14" s="1"/>
  <c r="Q11" i="14"/>
  <c r="Q10" i="14"/>
  <c r="S9" i="14"/>
  <c r="Q9" i="14" s="1"/>
  <c r="R9" i="14"/>
  <c r="Q12" i="13"/>
  <c r="R11" i="13"/>
  <c r="Q11" i="13"/>
  <c r="Q10" i="13"/>
  <c r="N9" i="3" s="1"/>
  <c r="S9" i="13"/>
  <c r="Q9" i="13" s="1"/>
  <c r="R9" i="13"/>
  <c r="R8" i="13"/>
  <c r="X37" i="12"/>
  <c r="X36" i="12"/>
  <c r="X35" i="12"/>
  <c r="AG34" i="12"/>
  <c r="AF34" i="12"/>
  <c r="AE34" i="12"/>
  <c r="AD34" i="12"/>
  <c r="AC34" i="12"/>
  <c r="AB34" i="12"/>
  <c r="AA34" i="12"/>
  <c r="X34" i="12"/>
  <c r="X33" i="12"/>
  <c r="X32" i="12"/>
  <c r="X31" i="12"/>
  <c r="X30" i="12"/>
  <c r="AG29" i="12"/>
  <c r="AF29" i="12"/>
  <c r="AF27" i="12" s="1"/>
  <c r="AE29" i="12"/>
  <c r="AE27" i="12" s="1"/>
  <c r="AD29" i="12"/>
  <c r="AD27" i="12" s="1"/>
  <c r="AC29" i="12"/>
  <c r="AB29" i="12"/>
  <c r="AB27" i="12" s="1"/>
  <c r="AA29" i="12"/>
  <c r="X29" i="12" s="1"/>
  <c r="Z29" i="12"/>
  <c r="Y29" i="12"/>
  <c r="X28" i="12"/>
  <c r="AG27" i="12"/>
  <c r="AC27" i="12"/>
  <c r="X26" i="12"/>
  <c r="X25" i="12"/>
  <c r="X24" i="12"/>
  <c r="X23" i="12"/>
  <c r="AG22" i="12"/>
  <c r="AF22" i="12"/>
  <c r="AE22" i="12"/>
  <c r="AD22" i="12"/>
  <c r="AC22" i="12"/>
  <c r="X22" i="12" s="1"/>
  <c r="AB22" i="12"/>
  <c r="AA22" i="12"/>
  <c r="X21" i="12"/>
  <c r="X20" i="12"/>
  <c r="N46" i="3" s="1"/>
  <c r="X19" i="12"/>
  <c r="X18" i="12"/>
  <c r="AG17" i="12"/>
  <c r="AG8" i="12" s="1"/>
  <c r="AF17" i="12"/>
  <c r="AE17" i="12"/>
  <c r="AC17" i="12"/>
  <c r="AB17" i="12"/>
  <c r="AA17" i="12"/>
  <c r="X16" i="12"/>
  <c r="N37" i="3" s="1"/>
  <c r="X15" i="12"/>
  <c r="X14" i="12"/>
  <c r="X13" i="12"/>
  <c r="N24" i="3" s="1"/>
  <c r="X12" i="12"/>
  <c r="X11" i="12"/>
  <c r="X10" i="12"/>
  <c r="AG9" i="12"/>
  <c r="AF9" i="12"/>
  <c r="AE9" i="12"/>
  <c r="AD9" i="12"/>
  <c r="AB9" i="12"/>
  <c r="AB8" i="12" s="1"/>
  <c r="AA9" i="12"/>
  <c r="AA8" i="12" s="1"/>
  <c r="Z9" i="12"/>
  <c r="Y9" i="12"/>
  <c r="Y8" i="12" s="1"/>
  <c r="AK40" i="11"/>
  <c r="AJ40" i="11"/>
  <c r="AI40" i="11"/>
  <c r="AH40" i="11"/>
  <c r="AF40" i="11"/>
  <c r="AE40" i="11"/>
  <c r="AD40" i="11"/>
  <c r="AC40" i="11"/>
  <c r="Z39" i="11"/>
  <c r="Z38" i="11"/>
  <c r="AK37" i="11"/>
  <c r="AJ37" i="11"/>
  <c r="AI37" i="11"/>
  <c r="AH37" i="11"/>
  <c r="AF37" i="11"/>
  <c r="AD37" i="11"/>
  <c r="AC37" i="11"/>
  <c r="Z35" i="11"/>
  <c r="N68" i="3" s="1"/>
  <c r="Z34" i="11"/>
  <c r="N66" i="3" s="1"/>
  <c r="Z33" i="11"/>
  <c r="AH30" i="11"/>
  <c r="AH28" i="11" s="1"/>
  <c r="Z32" i="11"/>
  <c r="Z31" i="11"/>
  <c r="AK30" i="11"/>
  <c r="AK28" i="11" s="1"/>
  <c r="AJ30" i="11"/>
  <c r="AJ28" i="11" s="1"/>
  <c r="AI30" i="11"/>
  <c r="AI28" i="11" s="1"/>
  <c r="AG30" i="11"/>
  <c r="AG28" i="11" s="1"/>
  <c r="AF30" i="11"/>
  <c r="AF28" i="11" s="1"/>
  <c r="AE30" i="11"/>
  <c r="AE28" i="11" s="1"/>
  <c r="AD30" i="11"/>
  <c r="AD28" i="11" s="1"/>
  <c r="AC30" i="11"/>
  <c r="AC28" i="11" s="1"/>
  <c r="Z27" i="11"/>
  <c r="Z26" i="11"/>
  <c r="Z25" i="11"/>
  <c r="Z24" i="11"/>
  <c r="AK23" i="11"/>
  <c r="AJ23" i="11"/>
  <c r="AI23" i="11"/>
  <c r="AH23" i="11"/>
  <c r="AF23" i="11"/>
  <c r="AE23" i="11"/>
  <c r="AD23" i="11"/>
  <c r="AC23" i="11"/>
  <c r="Z22" i="11"/>
  <c r="Z21" i="11"/>
  <c r="Z20" i="11"/>
  <c r="AK19" i="11"/>
  <c r="AJ19" i="11"/>
  <c r="AI19" i="11"/>
  <c r="AF19" i="11"/>
  <c r="AE19" i="11"/>
  <c r="AD19" i="11"/>
  <c r="AC19" i="11"/>
  <c r="Z18" i="11"/>
  <c r="Z17" i="11"/>
  <c r="Z16" i="11"/>
  <c r="Z15" i="11"/>
  <c r="N22" i="3" s="1"/>
  <c r="Z14" i="11"/>
  <c r="N21" i="3" s="1"/>
  <c r="AE9" i="11"/>
  <c r="Z13" i="11"/>
  <c r="Z12" i="11"/>
  <c r="N19" i="3" s="1"/>
  <c r="Z11" i="11"/>
  <c r="N18" i="3" s="1"/>
  <c r="Z10" i="11"/>
  <c r="AK9" i="11"/>
  <c r="AJ9" i="11"/>
  <c r="AI9" i="11"/>
  <c r="AH9" i="11"/>
  <c r="AG9" i="11"/>
  <c r="AF9" i="11"/>
  <c r="AD9" i="11"/>
  <c r="AC9" i="11"/>
  <c r="AB9" i="11"/>
  <c r="AB8" i="11" s="1"/>
  <c r="AA9" i="11"/>
  <c r="AA8" i="11" s="1"/>
  <c r="AL85" i="10"/>
  <c r="AL84" i="10"/>
  <c r="BI83" i="10"/>
  <c r="BG83" i="10"/>
  <c r="BF83" i="10"/>
  <c r="BE83" i="10"/>
  <c r="BB83" i="10"/>
  <c r="BA83" i="10"/>
  <c r="AZ83" i="10"/>
  <c r="AY83" i="10"/>
  <c r="AX83" i="10"/>
  <c r="AW83" i="10"/>
  <c r="AV83" i="10"/>
  <c r="AU83" i="10"/>
  <c r="AT83" i="10"/>
  <c r="AS83" i="10"/>
  <c r="AR83" i="10"/>
  <c r="AP83" i="10"/>
  <c r="AO83" i="10"/>
  <c r="AN83" i="10"/>
  <c r="AM83" i="10"/>
  <c r="AL82" i="10"/>
  <c r="AL81" i="10"/>
  <c r="BI80" i="10"/>
  <c r="BG80" i="10"/>
  <c r="BF80" i="10"/>
  <c r="BE80" i="10"/>
  <c r="BD80" i="10"/>
  <c r="BC80" i="10"/>
  <c r="BB80" i="10"/>
  <c r="BA80" i="10"/>
  <c r="AZ80" i="10"/>
  <c r="AY80" i="10"/>
  <c r="AX80" i="10"/>
  <c r="AW80" i="10"/>
  <c r="AV80" i="10"/>
  <c r="AU80" i="10"/>
  <c r="AT80" i="10"/>
  <c r="AS80" i="10"/>
  <c r="AR80" i="10"/>
  <c r="AP80" i="10"/>
  <c r="AO80" i="10"/>
  <c r="AN80" i="10"/>
  <c r="AM80" i="10"/>
  <c r="AL79" i="10"/>
  <c r="AL78" i="10"/>
  <c r="AL77" i="10"/>
  <c r="AL76" i="10"/>
  <c r="N70" i="3" s="1"/>
  <c r="AL75" i="10"/>
  <c r="N69" i="3" s="1"/>
  <c r="AL74" i="10"/>
  <c r="AL73" i="10"/>
  <c r="N67" i="3" s="1"/>
  <c r="AL72" i="10"/>
  <c r="AL71" i="10"/>
  <c r="AL70" i="10"/>
  <c r="N64" i="3" s="1"/>
  <c r="AL69" i="10"/>
  <c r="N63" i="3" s="1"/>
  <c r="AL68" i="10"/>
  <c r="AL67" i="10"/>
  <c r="BI66" i="10"/>
  <c r="BI60" i="10" s="1"/>
  <c r="BG66" i="10"/>
  <c r="BF66" i="10"/>
  <c r="BE66" i="10"/>
  <c r="BD66" i="10"/>
  <c r="BC66" i="10"/>
  <c r="BB66" i="10"/>
  <c r="BA66" i="10"/>
  <c r="AZ66" i="10"/>
  <c r="AY66" i="10"/>
  <c r="AX66" i="10"/>
  <c r="AW66" i="10"/>
  <c r="AV66" i="10"/>
  <c r="AU66" i="10"/>
  <c r="AT66" i="10"/>
  <c r="AS66" i="10"/>
  <c r="AR66" i="10"/>
  <c r="AQ66" i="10"/>
  <c r="AP66" i="10"/>
  <c r="AO66" i="10"/>
  <c r="AM66" i="10"/>
  <c r="AL65" i="10"/>
  <c r="N59" i="3" s="1"/>
  <c r="AL64" i="10"/>
  <c r="N58" i="3" s="1"/>
  <c r="AL63" i="10"/>
  <c r="N57" i="3" s="1"/>
  <c r="AL62" i="10"/>
  <c r="N56" i="3" s="1"/>
  <c r="BI61" i="10"/>
  <c r="BG61" i="10"/>
  <c r="BF61" i="10"/>
  <c r="BE61" i="10"/>
  <c r="BD61" i="10"/>
  <c r="BC61" i="10"/>
  <c r="BB61" i="10"/>
  <c r="BA61" i="10"/>
  <c r="AZ61" i="10"/>
  <c r="AY61" i="10"/>
  <c r="AX61" i="10"/>
  <c r="AW61" i="10"/>
  <c r="AV61" i="10"/>
  <c r="AV60" i="10" s="1"/>
  <c r="AU61" i="10"/>
  <c r="AT61" i="10"/>
  <c r="AS61" i="10"/>
  <c r="AR61" i="10"/>
  <c r="AR60" i="10" s="1"/>
  <c r="AQ61" i="10"/>
  <c r="AP61" i="10"/>
  <c r="AO61" i="10"/>
  <c r="AN61" i="10"/>
  <c r="AM61" i="10"/>
  <c r="AL59" i="10"/>
  <c r="AL58" i="10"/>
  <c r="AL57" i="10" s="1"/>
  <c r="BI57" i="10"/>
  <c r="BI54" i="10" s="1"/>
  <c r="BG57" i="10"/>
  <c r="BG54" i="10" s="1"/>
  <c r="BF57" i="10"/>
  <c r="BE57" i="10"/>
  <c r="BE54" i="10" s="1"/>
  <c r="BD57" i="10"/>
  <c r="BD54" i="10" s="1"/>
  <c r="BC57" i="10"/>
  <c r="BC54" i="10" s="1"/>
  <c r="BB57" i="10"/>
  <c r="BB54" i="10" s="1"/>
  <c r="BA57" i="10"/>
  <c r="BA54" i="10" s="1"/>
  <c r="AZ57" i="10"/>
  <c r="AZ54" i="10" s="1"/>
  <c r="AY57" i="10"/>
  <c r="AY54" i="10" s="1"/>
  <c r="AX57" i="10"/>
  <c r="AX54" i="10" s="1"/>
  <c r="AW57" i="10"/>
  <c r="AW54" i="10" s="1"/>
  <c r="AV57" i="10"/>
  <c r="AV54" i="10" s="1"/>
  <c r="AU57" i="10"/>
  <c r="AU54" i="10" s="1"/>
  <c r="AT57" i="10"/>
  <c r="AT54" i="10" s="1"/>
  <c r="AS57" i="10"/>
  <c r="AS54" i="10" s="1"/>
  <c r="AR57" i="10"/>
  <c r="AR54" i="10" s="1"/>
  <c r="AQ57" i="10"/>
  <c r="AQ54" i="10" s="1"/>
  <c r="AP57" i="10"/>
  <c r="AP54" i="10" s="1"/>
  <c r="AO57" i="10"/>
  <c r="AO54" i="10" s="1"/>
  <c r="AN57" i="10"/>
  <c r="AN54" i="10" s="1"/>
  <c r="AM57" i="10"/>
  <c r="AM54" i="10" s="1"/>
  <c r="AL56" i="10"/>
  <c r="AL55" i="10"/>
  <c r="BF54" i="10"/>
  <c r="AL53" i="10"/>
  <c r="AL52" i="10"/>
  <c r="AL51" i="10"/>
  <c r="BG45" i="10"/>
  <c r="BF45" i="10"/>
  <c r="BF41" i="10" s="1"/>
  <c r="BE45" i="10"/>
  <c r="BB45" i="10"/>
  <c r="BB41" i="10" s="1"/>
  <c r="BA45" i="10"/>
  <c r="AZ45" i="10"/>
  <c r="AZ41" i="10" s="1"/>
  <c r="AY45" i="10"/>
  <c r="AX45" i="10"/>
  <c r="AX41" i="10" s="1"/>
  <c r="AW45" i="10"/>
  <c r="AW41" i="10" s="1"/>
  <c r="AV45" i="10"/>
  <c r="AV41" i="10" s="1"/>
  <c r="AU45" i="10"/>
  <c r="AT45" i="10"/>
  <c r="AT41" i="10" s="1"/>
  <c r="AS45" i="10"/>
  <c r="AR45" i="10"/>
  <c r="AR41" i="10" s="1"/>
  <c r="AP45" i="10"/>
  <c r="AP41" i="10" s="1"/>
  <c r="AN45" i="10"/>
  <c r="AN41" i="10" s="1"/>
  <c r="AM45" i="10"/>
  <c r="AL44" i="10"/>
  <c r="N43" i="3" s="1"/>
  <c r="AL43" i="10"/>
  <c r="AL42" i="10"/>
  <c r="N41" i="3" s="1"/>
  <c r="BI41" i="10"/>
  <c r="BG41" i="10"/>
  <c r="BE41" i="10"/>
  <c r="BD41" i="10"/>
  <c r="BC41" i="10"/>
  <c r="BA41" i="10"/>
  <c r="AY41" i="10"/>
  <c r="AU41" i="10"/>
  <c r="AS41" i="10"/>
  <c r="AQ41" i="10"/>
  <c r="AO41" i="10"/>
  <c r="AM41" i="10"/>
  <c r="AL40" i="10"/>
  <c r="N39" i="3" s="1"/>
  <c r="AL39" i="10"/>
  <c r="N38" i="3" s="1"/>
  <c r="AL38" i="10"/>
  <c r="AL37" i="10"/>
  <c r="AL36" i="10"/>
  <c r="N35" i="3" s="1"/>
  <c r="AL35" i="10"/>
  <c r="N34" i="3" s="1"/>
  <c r="AL34" i="10"/>
  <c r="N33" i="3" s="1"/>
  <c r="AL33" i="10"/>
  <c r="N32" i="3" s="1"/>
  <c r="AL32" i="10"/>
  <c r="N31" i="3" s="1"/>
  <c r="AL31" i="10"/>
  <c r="N30" i="3" s="1"/>
  <c r="AL30" i="10"/>
  <c r="AL29" i="10"/>
  <c r="N28" i="3" s="1"/>
  <c r="AL28" i="10"/>
  <c r="N27" i="3" s="1"/>
  <c r="AL27" i="10"/>
  <c r="AL26" i="10"/>
  <c r="AL25" i="10"/>
  <c r="AL24" i="10"/>
  <c r="N23" i="3" s="1"/>
  <c r="AL23" i="10"/>
  <c r="AL22" i="10"/>
  <c r="AL21" i="10"/>
  <c r="AL20" i="10"/>
  <c r="AL19" i="10"/>
  <c r="AL18" i="10"/>
  <c r="N17" i="3" s="1"/>
  <c r="AL17" i="10"/>
  <c r="N16" i="3" s="1"/>
  <c r="AL16" i="10"/>
  <c r="N15" i="3" s="1"/>
  <c r="AL15" i="10"/>
  <c r="N14" i="3" s="1"/>
  <c r="BF9" i="10"/>
  <c r="AL13" i="10"/>
  <c r="N12" i="3" s="1"/>
  <c r="AL12" i="10"/>
  <c r="N11" i="3" s="1"/>
  <c r="AL11" i="10"/>
  <c r="N10" i="3" s="1"/>
  <c r="AL10" i="10"/>
  <c r="BI9" i="10"/>
  <c r="BG9" i="10"/>
  <c r="BE9" i="10"/>
  <c r="BD9" i="10"/>
  <c r="BC9" i="10"/>
  <c r="BB9" i="10"/>
  <c r="BA9" i="10"/>
  <c r="AZ9" i="10"/>
  <c r="AY9" i="10"/>
  <c r="AX9" i="10"/>
  <c r="AW9" i="10"/>
  <c r="AV9" i="10"/>
  <c r="AT9" i="10"/>
  <c r="AS9" i="10"/>
  <c r="AR9" i="10"/>
  <c r="AQ9" i="10"/>
  <c r="AP9" i="10"/>
  <c r="AO9" i="10"/>
  <c r="AN9" i="10"/>
  <c r="AM9" i="10"/>
  <c r="AZ60" i="10" l="1"/>
  <c r="AF8" i="12"/>
  <c r="AE8" i="12"/>
  <c r="N47" i="3"/>
  <c r="N42" i="3"/>
  <c r="N62" i="3"/>
  <c r="N25" i="3"/>
  <c r="BD60" i="10"/>
  <c r="BD8" i="10" s="1"/>
  <c r="BF60" i="10"/>
  <c r="BF8" i="10" s="1"/>
  <c r="AL80" i="10"/>
  <c r="N55" i="3"/>
  <c r="Z23" i="11"/>
  <c r="AF8" i="11"/>
  <c r="BG60" i="10"/>
  <c r="BG8" i="10" s="1"/>
  <c r="AO60" i="10"/>
  <c r="AO8" i="10" s="1"/>
  <c r="AS60" i="10"/>
  <c r="AS8" i="10" s="1"/>
  <c r="AW60" i="10"/>
  <c r="BA60" i="10"/>
  <c r="BA8" i="10" s="1"/>
  <c r="AP60" i="10"/>
  <c r="AP8" i="10" s="1"/>
  <c r="AT60" i="10"/>
  <c r="AT8" i="10" s="1"/>
  <c r="AX60" i="10"/>
  <c r="BB60" i="10"/>
  <c r="BB8" i="10" s="1"/>
  <c r="AL83" i="10"/>
  <c r="N75" i="3"/>
  <c r="AN66" i="10"/>
  <c r="AN60" i="10" s="1"/>
  <c r="AN8" i="10" s="1"/>
  <c r="BI8" i="10"/>
  <c r="AM60" i="10"/>
  <c r="AM8" i="10" s="1"/>
  <c r="AU60" i="10"/>
  <c r="AY60" i="10"/>
  <c r="AY8" i="10" s="1"/>
  <c r="BC60" i="10"/>
  <c r="BC8" i="10" s="1"/>
  <c r="BE60" i="10"/>
  <c r="BE8" i="10" s="1"/>
  <c r="N74" i="3"/>
  <c r="R8" i="14"/>
  <c r="AK8" i="11"/>
  <c r="N65" i="3"/>
  <c r="AI8" i="11"/>
  <c r="Z19" i="11"/>
  <c r="AG8" i="11"/>
  <c r="Z30" i="11"/>
  <c r="N20" i="3"/>
  <c r="Z37" i="11"/>
  <c r="AD8" i="11"/>
  <c r="AC8" i="11"/>
  <c r="Z9" i="11"/>
  <c r="AL54" i="10"/>
  <c r="N48" i="3"/>
  <c r="AZ8" i="10"/>
  <c r="AW8" i="10"/>
  <c r="AV8" i="10"/>
  <c r="AR8" i="10"/>
  <c r="AQ60" i="10"/>
  <c r="AQ8" i="10" s="1"/>
  <c r="AL45" i="10"/>
  <c r="N44" i="3" s="1"/>
  <c r="AL61" i="10"/>
  <c r="AL66" i="10"/>
  <c r="N61" i="3"/>
  <c r="S8" i="14"/>
  <c r="S8" i="13"/>
  <c r="Q8" i="13" s="1"/>
  <c r="Q26" i="13" s="1"/>
  <c r="Z8" i="12"/>
  <c r="AA27" i="12"/>
  <c r="X27" i="12" s="1"/>
  <c r="AC9" i="12"/>
  <c r="AC8" i="12" s="1"/>
  <c r="AD17" i="12"/>
  <c r="X17" i="12" s="1"/>
  <c r="AJ8" i="11"/>
  <c r="AE37" i="11"/>
  <c r="AE8" i="11" s="1"/>
  <c r="AH19" i="11"/>
  <c r="AH8" i="11" s="1"/>
  <c r="AX8" i="10"/>
  <c r="AU9" i="10"/>
  <c r="AL14" i="10"/>
  <c r="AU8" i="10" l="1"/>
  <c r="AL60" i="10"/>
  <c r="Q8" i="14"/>
  <c r="Q47" i="14" s="1"/>
  <c r="N40" i="3"/>
  <c r="AL9" i="10"/>
  <c r="N13" i="3"/>
  <c r="AL41" i="10"/>
  <c r="AD8" i="12"/>
  <c r="X8" i="12" s="1"/>
  <c r="X9" i="12"/>
  <c r="AL8" i="10" l="1"/>
  <c r="N60" i="3"/>
  <c r="N8" i="3"/>
  <c r="N49" i="3"/>
  <c r="M71" i="3"/>
  <c r="N71" i="3"/>
  <c r="N73" i="3"/>
  <c r="S9" i="11"/>
  <c r="BB12" i="12"/>
  <c r="AR12" i="12"/>
  <c r="BN9" i="11"/>
  <c r="DC68" i="10"/>
  <c r="DC67" i="10"/>
  <c r="AW33" i="11"/>
  <c r="CT9" i="10"/>
  <c r="AH14" i="12"/>
  <c r="AQ9" i="11"/>
  <c r="CA83" i="10"/>
  <c r="CA80" i="10"/>
  <c r="CA66" i="10"/>
  <c r="CA61" i="10"/>
  <c r="CA57" i="10"/>
  <c r="CA54" i="10" s="1"/>
  <c r="CA45" i="10"/>
  <c r="CA41" i="10" s="1"/>
  <c r="CA9" i="10"/>
  <c r="N43" i="10"/>
  <c r="N16" i="11"/>
  <c r="N19" i="12"/>
  <c r="N82" i="10"/>
  <c r="M10" i="3"/>
  <c r="AB11" i="14"/>
  <c r="T11" i="14"/>
  <c r="AC9" i="14"/>
  <c r="X11" i="14"/>
  <c r="N11" i="14"/>
  <c r="N38" i="14"/>
  <c r="N37" i="14"/>
  <c r="N36" i="14"/>
  <c r="N35" i="14"/>
  <c r="N34" i="14"/>
  <c r="N33" i="14"/>
  <c r="N29" i="14"/>
  <c r="N28" i="14"/>
  <c r="N26" i="14"/>
  <c r="N25" i="14"/>
  <c r="N24" i="14"/>
  <c r="N23" i="14"/>
  <c r="N22" i="14"/>
  <c r="N21" i="14"/>
  <c r="N20" i="14"/>
  <c r="N19" i="14"/>
  <c r="N18" i="14"/>
  <c r="N16" i="14"/>
  <c r="N15" i="14"/>
  <c r="O14" i="14"/>
  <c r="O8" i="14" s="1"/>
  <c r="N10" i="14"/>
  <c r="P9" i="14"/>
  <c r="P8" i="14" s="1"/>
  <c r="O9" i="14"/>
  <c r="N12" i="13"/>
  <c r="N11" i="13"/>
  <c r="N10" i="13"/>
  <c r="M9" i="3" s="1"/>
  <c r="P9" i="13"/>
  <c r="P8" i="13" s="1"/>
  <c r="O9" i="13"/>
  <c r="N37" i="12"/>
  <c r="N36" i="12"/>
  <c r="N35" i="12"/>
  <c r="W34" i="12"/>
  <c r="V34" i="12"/>
  <c r="U34" i="12"/>
  <c r="T34" i="12"/>
  <c r="S34" i="12"/>
  <c r="R34" i="12"/>
  <c r="Q34" i="12"/>
  <c r="N34" i="12"/>
  <c r="N33" i="12"/>
  <c r="N32" i="12"/>
  <c r="N31" i="12"/>
  <c r="N30" i="12"/>
  <c r="W29" i="12"/>
  <c r="V29" i="12"/>
  <c r="V27" i="12"/>
  <c r="U29" i="12"/>
  <c r="U27" i="12" s="1"/>
  <c r="T29" i="12"/>
  <c r="T27" i="12" s="1"/>
  <c r="S29" i="12"/>
  <c r="S27" i="12" s="1"/>
  <c r="R29" i="12"/>
  <c r="R27" i="12" s="1"/>
  <c r="Q29" i="12"/>
  <c r="N29" i="12" s="1"/>
  <c r="P29" i="12"/>
  <c r="O29" i="12"/>
  <c r="N28" i="12"/>
  <c r="W27" i="12"/>
  <c r="N26" i="12"/>
  <c r="N25" i="12"/>
  <c r="N24" i="12"/>
  <c r="N23" i="12"/>
  <c r="W22" i="12"/>
  <c r="V22" i="12"/>
  <c r="U22" i="12"/>
  <c r="T22" i="12"/>
  <c r="S22" i="12"/>
  <c r="R22" i="12"/>
  <c r="Q22" i="12"/>
  <c r="N21" i="12"/>
  <c r="N20" i="12"/>
  <c r="M46" i="3" s="1"/>
  <c r="N18" i="12"/>
  <c r="W17" i="12"/>
  <c r="V17" i="12"/>
  <c r="U17" i="12"/>
  <c r="S17" i="12"/>
  <c r="R17" i="12"/>
  <c r="Q17" i="12"/>
  <c r="N16" i="12"/>
  <c r="M37" i="3" s="1"/>
  <c r="N15" i="12"/>
  <c r="N13" i="12"/>
  <c r="M24" i="3" s="1"/>
  <c r="N12" i="12"/>
  <c r="N11" i="12"/>
  <c r="N10" i="12"/>
  <c r="W9" i="12"/>
  <c r="V9" i="12"/>
  <c r="U9" i="12"/>
  <c r="T9" i="12"/>
  <c r="R9" i="12"/>
  <c r="Q9" i="12"/>
  <c r="P9" i="12"/>
  <c r="O9" i="12"/>
  <c r="O8" i="12" s="1"/>
  <c r="N39" i="11"/>
  <c r="N33" i="11"/>
  <c r="N34" i="11"/>
  <c r="M66" i="3" s="1"/>
  <c r="N35" i="11"/>
  <c r="M68" i="3" s="1"/>
  <c r="N31" i="11"/>
  <c r="N24" i="11"/>
  <c r="N25" i="11"/>
  <c r="N26" i="11"/>
  <c r="N27" i="11"/>
  <c r="N21" i="11"/>
  <c r="N22" i="11"/>
  <c r="N20" i="11"/>
  <c r="N11" i="11"/>
  <c r="M18" i="3" s="1"/>
  <c r="M19" i="3"/>
  <c r="N13" i="11"/>
  <c r="M20" i="3" s="1"/>
  <c r="N14" i="11"/>
  <c r="M21" i="3" s="1"/>
  <c r="N15" i="11"/>
  <c r="M22" i="3" s="1"/>
  <c r="N17" i="11"/>
  <c r="N18" i="11"/>
  <c r="N10" i="11"/>
  <c r="M15" i="3" s="1"/>
  <c r="Y40" i="11"/>
  <c r="X40" i="11"/>
  <c r="W40" i="11"/>
  <c r="V40" i="11"/>
  <c r="T40" i="11"/>
  <c r="S40" i="11"/>
  <c r="R40" i="11"/>
  <c r="Q40" i="11"/>
  <c r="R37" i="11"/>
  <c r="Y37" i="11"/>
  <c r="X37" i="11"/>
  <c r="W37" i="11"/>
  <c r="V37" i="11"/>
  <c r="T37" i="11"/>
  <c r="Q37" i="11"/>
  <c r="N32" i="11"/>
  <c r="Y30" i="11"/>
  <c r="Y28" i="11" s="1"/>
  <c r="X30" i="11"/>
  <c r="X28" i="11" s="1"/>
  <c r="W30" i="11"/>
  <c r="W28" i="11" s="1"/>
  <c r="U30" i="11"/>
  <c r="U28" i="11" s="1"/>
  <c r="T30" i="11"/>
  <c r="T28" i="11" s="1"/>
  <c r="S30" i="11"/>
  <c r="S28" i="11" s="1"/>
  <c r="R30" i="11"/>
  <c r="R28" i="11" s="1"/>
  <c r="Q30" i="11"/>
  <c r="Q28" i="11" s="1"/>
  <c r="Y23" i="11"/>
  <c r="X23" i="11"/>
  <c r="W23" i="11"/>
  <c r="V23" i="11"/>
  <c r="T23" i="11"/>
  <c r="S23" i="11"/>
  <c r="R23" i="11"/>
  <c r="Q23" i="11"/>
  <c r="V19" i="11"/>
  <c r="Y19" i="11"/>
  <c r="X19" i="11"/>
  <c r="W19" i="11"/>
  <c r="T19" i="11"/>
  <c r="S19" i="11"/>
  <c r="R19" i="11"/>
  <c r="Q19" i="11"/>
  <c r="Y9" i="11"/>
  <c r="X9" i="11"/>
  <c r="W9" i="11"/>
  <c r="V9" i="11"/>
  <c r="U9" i="11"/>
  <c r="T9" i="11"/>
  <c r="R9" i="11"/>
  <c r="Q9" i="11"/>
  <c r="P9" i="11"/>
  <c r="P8" i="11" s="1"/>
  <c r="O9" i="11"/>
  <c r="O8" i="11" s="1"/>
  <c r="N85" i="10"/>
  <c r="N84" i="10"/>
  <c r="N81" i="10"/>
  <c r="N79" i="10"/>
  <c r="N69" i="10"/>
  <c r="M63" i="3" s="1"/>
  <c r="N70" i="10"/>
  <c r="M64" i="3" s="1"/>
  <c r="N71" i="10"/>
  <c r="N72" i="10"/>
  <c r="N74" i="10"/>
  <c r="N75" i="10"/>
  <c r="M69" i="3" s="1"/>
  <c r="N76" i="10"/>
  <c r="M70" i="3" s="1"/>
  <c r="N77" i="10"/>
  <c r="N78" i="10"/>
  <c r="N63" i="10"/>
  <c r="M57" i="3" s="1"/>
  <c r="N64" i="10"/>
  <c r="M58" i="3" s="1"/>
  <c r="N65" i="10"/>
  <c r="M59" i="3" s="1"/>
  <c r="N62" i="10"/>
  <c r="M56" i="3" s="1"/>
  <c r="N59" i="10"/>
  <c r="N58" i="10"/>
  <c r="M48" i="3" s="1"/>
  <c r="N56" i="10"/>
  <c r="N55" i="10"/>
  <c r="N52" i="10"/>
  <c r="N53" i="10"/>
  <c r="N51" i="10"/>
  <c r="N42" i="10"/>
  <c r="M11" i="3"/>
  <c r="M12" i="3"/>
  <c r="M14" i="3"/>
  <c r="M16" i="3"/>
  <c r="M17" i="3"/>
  <c r="M23" i="3"/>
  <c r="M30" i="3"/>
  <c r="M31" i="3"/>
  <c r="M32" i="3"/>
  <c r="M33" i="3"/>
  <c r="M35" i="3"/>
  <c r="M38" i="3"/>
  <c r="M39" i="3"/>
  <c r="AJ83" i="10"/>
  <c r="AI83" i="10"/>
  <c r="AH83" i="10"/>
  <c r="AG83" i="10"/>
  <c r="AD83" i="10"/>
  <c r="AC83" i="10"/>
  <c r="AB83" i="10"/>
  <c r="AA83" i="10"/>
  <c r="Z83" i="10"/>
  <c r="Y83" i="10"/>
  <c r="X83" i="10"/>
  <c r="W83" i="10"/>
  <c r="V83" i="10"/>
  <c r="U83" i="10"/>
  <c r="T83" i="10"/>
  <c r="R83" i="10"/>
  <c r="Q83" i="10"/>
  <c r="P83" i="10"/>
  <c r="O83" i="10"/>
  <c r="AJ80" i="10"/>
  <c r="AI80" i="10"/>
  <c r="AH80" i="10"/>
  <c r="AG80" i="10"/>
  <c r="AF80" i="10"/>
  <c r="AE80" i="10"/>
  <c r="AD80" i="10"/>
  <c r="AC80" i="10"/>
  <c r="AB80" i="10"/>
  <c r="AA80" i="10"/>
  <c r="Z80" i="10"/>
  <c r="Y80" i="10"/>
  <c r="X80" i="10"/>
  <c r="W80" i="10"/>
  <c r="V80" i="10"/>
  <c r="U80" i="10"/>
  <c r="T80" i="10"/>
  <c r="R80" i="10"/>
  <c r="Q80" i="10"/>
  <c r="P80" i="10"/>
  <c r="O80" i="10"/>
  <c r="N73" i="10"/>
  <c r="M67" i="3" s="1"/>
  <c r="N68" i="10"/>
  <c r="N67" i="10"/>
  <c r="M61" i="3" s="1"/>
  <c r="AJ66" i="10"/>
  <c r="AI66" i="10"/>
  <c r="AH66" i="10"/>
  <c r="AG66" i="10"/>
  <c r="AF66" i="10"/>
  <c r="AE66" i="10"/>
  <c r="AD66" i="10"/>
  <c r="AC66" i="10"/>
  <c r="AB66" i="10"/>
  <c r="AA66" i="10"/>
  <c r="Z66" i="10"/>
  <c r="Y66" i="10"/>
  <c r="X66" i="10"/>
  <c r="W66" i="10"/>
  <c r="V66" i="10"/>
  <c r="U66" i="10"/>
  <c r="T66" i="10"/>
  <c r="S66" i="10"/>
  <c r="R66" i="10"/>
  <c r="Q66" i="10"/>
  <c r="O66" i="10"/>
  <c r="AJ61" i="10"/>
  <c r="AI61" i="10"/>
  <c r="AH61" i="10"/>
  <c r="AG61" i="10"/>
  <c r="AF61" i="10"/>
  <c r="AF60" i="10" s="1"/>
  <c r="AE61" i="10"/>
  <c r="AD61" i="10"/>
  <c r="AC61" i="10"/>
  <c r="AB61" i="10"/>
  <c r="AA61" i="10"/>
  <c r="Z61" i="10"/>
  <c r="Y61" i="10"/>
  <c r="X61" i="10"/>
  <c r="W61" i="10"/>
  <c r="V61" i="10"/>
  <c r="U61" i="10"/>
  <c r="T61" i="10"/>
  <c r="T60" i="10" s="1"/>
  <c r="S61" i="10"/>
  <c r="R61" i="10"/>
  <c r="Q61" i="10"/>
  <c r="P61" i="10"/>
  <c r="O61" i="10"/>
  <c r="O60" i="10" s="1"/>
  <c r="AJ57" i="10"/>
  <c r="AJ54" i="10" s="1"/>
  <c r="AI57" i="10"/>
  <c r="AI54" i="10" s="1"/>
  <c r="AH57" i="10"/>
  <c r="AH54" i="10" s="1"/>
  <c r="AG57" i="10"/>
  <c r="AG54" i="10" s="1"/>
  <c r="AF57" i="10"/>
  <c r="AF54" i="10" s="1"/>
  <c r="AE57" i="10"/>
  <c r="AE54" i="10" s="1"/>
  <c r="AD57" i="10"/>
  <c r="AD54" i="10" s="1"/>
  <c r="AC57" i="10"/>
  <c r="AC54" i="10" s="1"/>
  <c r="AB57" i="10"/>
  <c r="AB54" i="10" s="1"/>
  <c r="AA57" i="10"/>
  <c r="AA54" i="10" s="1"/>
  <c r="Z57" i="10"/>
  <c r="Z54" i="10" s="1"/>
  <c r="Y57" i="10"/>
  <c r="Y54" i="10" s="1"/>
  <c r="X57" i="10"/>
  <c r="X54" i="10" s="1"/>
  <c r="W57" i="10"/>
  <c r="W54" i="10" s="1"/>
  <c r="V57" i="10"/>
  <c r="V54" i="10" s="1"/>
  <c r="U57" i="10"/>
  <c r="U54" i="10" s="1"/>
  <c r="T57" i="10"/>
  <c r="T54" i="10" s="1"/>
  <c r="S57" i="10"/>
  <c r="S54" i="10" s="1"/>
  <c r="R57" i="10"/>
  <c r="R54" i="10" s="1"/>
  <c r="Q57" i="10"/>
  <c r="Q54" i="10" s="1"/>
  <c r="P57" i="10"/>
  <c r="P54" i="10" s="1"/>
  <c r="O57" i="10"/>
  <c r="O54" i="10" s="1"/>
  <c r="AI41" i="10"/>
  <c r="AH41" i="10"/>
  <c r="AD41" i="10"/>
  <c r="AB41" i="10"/>
  <c r="AA41" i="10"/>
  <c r="Z41" i="10"/>
  <c r="Y41" i="10"/>
  <c r="X41" i="10"/>
  <c r="W41" i="10"/>
  <c r="V41" i="10"/>
  <c r="U41" i="10"/>
  <c r="T41" i="10"/>
  <c r="R41" i="10"/>
  <c r="P41" i="10"/>
  <c r="N44" i="10"/>
  <c r="AJ41" i="10"/>
  <c r="AG41" i="10"/>
  <c r="AF41" i="10"/>
  <c r="AE41" i="10"/>
  <c r="AC41" i="10"/>
  <c r="S41" i="10"/>
  <c r="Q41" i="10"/>
  <c r="M34" i="3"/>
  <c r="M28" i="3"/>
  <c r="T9" i="10"/>
  <c r="AA9" i="10"/>
  <c r="AJ9" i="10"/>
  <c r="AI9" i="10"/>
  <c r="AH9" i="10"/>
  <c r="AG9" i="10"/>
  <c r="AF9" i="10"/>
  <c r="AE9" i="10"/>
  <c r="AD9" i="10"/>
  <c r="AC9" i="10"/>
  <c r="AB9" i="10"/>
  <c r="Z9" i="10"/>
  <c r="Y9" i="10"/>
  <c r="X9" i="10"/>
  <c r="V9" i="10"/>
  <c r="U9" i="10"/>
  <c r="S9" i="10"/>
  <c r="R9" i="10"/>
  <c r="Q9" i="10"/>
  <c r="P9" i="10"/>
  <c r="O9" i="10"/>
  <c r="N83" i="10"/>
  <c r="AH12" i="12"/>
  <c r="DC44" i="10"/>
  <c r="CG44" i="10"/>
  <c r="AC14" i="14"/>
  <c r="AB15" i="14"/>
  <c r="AB16" i="14"/>
  <c r="Y14" i="14"/>
  <c r="X15" i="14"/>
  <c r="X16" i="14"/>
  <c r="T15" i="14"/>
  <c r="T16" i="14"/>
  <c r="U14" i="14"/>
  <c r="T14" i="14" s="1"/>
  <c r="Y12" i="13"/>
  <c r="Z11" i="13"/>
  <c r="Y11" i="13" s="1"/>
  <c r="W12" i="13"/>
  <c r="X11" i="13"/>
  <c r="W11" i="13" s="1"/>
  <c r="T12" i="13"/>
  <c r="U11" i="13"/>
  <c r="T11" i="13" s="1"/>
  <c r="BJ44" i="10"/>
  <c r="AR11" i="12"/>
  <c r="BF9" i="12"/>
  <c r="BB16" i="12"/>
  <c r="BE34" i="12"/>
  <c r="BE29" i="12"/>
  <c r="BE27" i="12"/>
  <c r="BE22" i="12"/>
  <c r="BE17" i="12"/>
  <c r="BE9" i="12"/>
  <c r="BE8" i="12" s="1"/>
  <c r="AV9" i="12"/>
  <c r="AR16" i="12"/>
  <c r="AU34" i="12"/>
  <c r="AU29" i="12"/>
  <c r="AU27" i="12" s="1"/>
  <c r="AU22" i="12"/>
  <c r="AU17" i="12"/>
  <c r="AU9" i="12"/>
  <c r="AU8" i="12" s="1"/>
  <c r="AP9" i="11"/>
  <c r="T10" i="13"/>
  <c r="AL9" i="12"/>
  <c r="AL8" i="12" s="1"/>
  <c r="AH16" i="12"/>
  <c r="AL34" i="12"/>
  <c r="AL29" i="12"/>
  <c r="AL27" i="12" s="1"/>
  <c r="AL22" i="12"/>
  <c r="AL17" i="12"/>
  <c r="BJ9" i="12"/>
  <c r="BJ8" i="12" s="1"/>
  <c r="BI29" i="12"/>
  <c r="BI27" i="12" s="1"/>
  <c r="BJ34" i="12"/>
  <c r="BJ29" i="12"/>
  <c r="BJ27" i="12" s="1"/>
  <c r="BJ22" i="12"/>
  <c r="BJ17" i="12"/>
  <c r="BI34" i="12"/>
  <c r="BI22" i="12"/>
  <c r="BI17" i="12"/>
  <c r="BI9" i="12"/>
  <c r="BH16" i="11"/>
  <c r="BH34" i="11"/>
  <c r="BR40" i="11"/>
  <c r="BR37" i="11"/>
  <c r="BR30" i="11"/>
  <c r="BR28" i="11"/>
  <c r="BR23" i="11"/>
  <c r="BR19" i="11"/>
  <c r="BR9" i="11"/>
  <c r="BQ40" i="11"/>
  <c r="BQ37" i="11"/>
  <c r="BQ30" i="11"/>
  <c r="BQ28" i="11" s="1"/>
  <c r="BQ23" i="11"/>
  <c r="BQ19" i="11"/>
  <c r="BQ9" i="11"/>
  <c r="DV9" i="10"/>
  <c r="BB30" i="12"/>
  <c r="AR30" i="12"/>
  <c r="BB15" i="12"/>
  <c r="AR15" i="12"/>
  <c r="AZ9" i="12"/>
  <c r="AT29" i="12"/>
  <c r="AV29" i="12"/>
  <c r="AW29" i="12"/>
  <c r="AX29" i="12"/>
  <c r="AY29" i="12"/>
  <c r="AY27" i="12" s="1"/>
  <c r="AZ29" i="12"/>
  <c r="AZ27" i="12"/>
  <c r="BA29" i="12"/>
  <c r="BA27" i="12"/>
  <c r="AS29" i="12"/>
  <c r="AZ34" i="12"/>
  <c r="AZ22" i="12"/>
  <c r="AZ17" i="12"/>
  <c r="AY34" i="12"/>
  <c r="AY22" i="12"/>
  <c r="AY17" i="12"/>
  <c r="AY9" i="12"/>
  <c r="AW38" i="11"/>
  <c r="AW34" i="11"/>
  <c r="AW16" i="11"/>
  <c r="BG9" i="11"/>
  <c r="BG40" i="11"/>
  <c r="BG37" i="11"/>
  <c r="BG30" i="11"/>
  <c r="BG28" i="11" s="1"/>
  <c r="BG23" i="11"/>
  <c r="BG19" i="11"/>
  <c r="BF40" i="11"/>
  <c r="BF37" i="11"/>
  <c r="BF30" i="11"/>
  <c r="BF28" i="11" s="1"/>
  <c r="BF8" i="11" s="1"/>
  <c r="BF23" i="11"/>
  <c r="BF19" i="11"/>
  <c r="BF9" i="11"/>
  <c r="V9" i="13"/>
  <c r="V8" i="13" s="1"/>
  <c r="AP9" i="12"/>
  <c r="AH15" i="12"/>
  <c r="AJ29" i="12"/>
  <c r="AK29" i="12"/>
  <c r="AM29" i="12"/>
  <c r="AN29" i="12"/>
  <c r="AO29" i="12"/>
  <c r="AO27" i="12" s="1"/>
  <c r="AH27" i="12" s="1"/>
  <c r="AP29" i="12"/>
  <c r="AP27" i="12"/>
  <c r="AQ29" i="12"/>
  <c r="AI29" i="12"/>
  <c r="AH30" i="12"/>
  <c r="AP34" i="12"/>
  <c r="AP22" i="12"/>
  <c r="AP17" i="12"/>
  <c r="AO34" i="12"/>
  <c r="AO22" i="12"/>
  <c r="AO17" i="12"/>
  <c r="AO9" i="12"/>
  <c r="AL16" i="11"/>
  <c r="AL34" i="11"/>
  <c r="AL33" i="11"/>
  <c r="AV40" i="11"/>
  <c r="AV37" i="11"/>
  <c r="AV30" i="11"/>
  <c r="AV28" i="11" s="1"/>
  <c r="AV23" i="11"/>
  <c r="AV19" i="11"/>
  <c r="AV9" i="11"/>
  <c r="AU40" i="11"/>
  <c r="AU37" i="11"/>
  <c r="AU30" i="11"/>
  <c r="AU28" i="11" s="1"/>
  <c r="AU23" i="11"/>
  <c r="AU19" i="11"/>
  <c r="AU9" i="11"/>
  <c r="CC9" i="10"/>
  <c r="BB11" i="12"/>
  <c r="Q21" i="3" s="1"/>
  <c r="BB13" i="12"/>
  <c r="BB14" i="12"/>
  <c r="BB10" i="12"/>
  <c r="BD9" i="12"/>
  <c r="BG9" i="12"/>
  <c r="BG8" i="12" s="1"/>
  <c r="BH9" i="12"/>
  <c r="BK9" i="12"/>
  <c r="BC9" i="12"/>
  <c r="BC8" i="12" s="1"/>
  <c r="BD34" i="12"/>
  <c r="BD29" i="12"/>
  <c r="BD27" i="12" s="1"/>
  <c r="BD22" i="12"/>
  <c r="BD17" i="12"/>
  <c r="BC34" i="12"/>
  <c r="BC29" i="12"/>
  <c r="BC27" i="12" s="1"/>
  <c r="BC22" i="12"/>
  <c r="BC17" i="12"/>
  <c r="BJ9" i="11"/>
  <c r="BK9" i="11"/>
  <c r="BL9" i="11"/>
  <c r="BL8" i="11" s="1"/>
  <c r="BM9" i="11"/>
  <c r="BO9" i="11"/>
  <c r="BP9" i="11"/>
  <c r="BI9" i="11"/>
  <c r="BN40" i="11"/>
  <c r="BN37" i="11"/>
  <c r="BN30" i="11"/>
  <c r="BN28" i="11" s="1"/>
  <c r="BN23" i="11"/>
  <c r="BN19" i="11"/>
  <c r="BH38" i="11"/>
  <c r="BJ40" i="11"/>
  <c r="BJ37" i="11"/>
  <c r="BJ30" i="11"/>
  <c r="BJ28" i="11" s="1"/>
  <c r="BJ23" i="11"/>
  <c r="BJ19" i="11"/>
  <c r="BH17" i="11"/>
  <c r="BH18" i="11"/>
  <c r="BH15" i="11"/>
  <c r="DC71" i="10"/>
  <c r="BH11" i="11"/>
  <c r="BH10" i="11"/>
  <c r="BI40" i="11"/>
  <c r="BI37" i="11"/>
  <c r="BI30" i="11"/>
  <c r="BI28" i="11" s="1"/>
  <c r="BI23" i="11"/>
  <c r="BI19" i="11"/>
  <c r="DC38" i="10"/>
  <c r="DC39" i="10"/>
  <c r="Q38" i="3" s="1"/>
  <c r="AW17" i="11"/>
  <c r="AR10" i="12"/>
  <c r="AH10" i="12"/>
  <c r="AW11" i="11"/>
  <c r="AW10" i="11"/>
  <c r="AL11" i="11"/>
  <c r="AL10" i="11"/>
  <c r="AR14" i="12"/>
  <c r="AT9" i="12"/>
  <c r="AT8" i="12" s="1"/>
  <c r="AS9" i="12"/>
  <c r="AS8" i="12" s="1"/>
  <c r="AJ9" i="12"/>
  <c r="AJ8" i="12" s="1"/>
  <c r="AI9" i="12"/>
  <c r="AI8" i="12" s="1"/>
  <c r="BE9" i="11"/>
  <c r="BC30" i="11"/>
  <c r="BC28" i="11" s="1"/>
  <c r="BC9" i="11"/>
  <c r="AZ37" i="11"/>
  <c r="AW37" i="11" s="1"/>
  <c r="AT9" i="11"/>
  <c r="AR9" i="11"/>
  <c r="AL17" i="11"/>
  <c r="AR30" i="11"/>
  <c r="AO37" i="11"/>
  <c r="AN9" i="11"/>
  <c r="AY9" i="11"/>
  <c r="AY8" i="11" s="1"/>
  <c r="AN40" i="11"/>
  <c r="AN37" i="11"/>
  <c r="AN30" i="11"/>
  <c r="AN28" i="11" s="1"/>
  <c r="AN23" i="11"/>
  <c r="AN19" i="11"/>
  <c r="AW18" i="11"/>
  <c r="AX9" i="11"/>
  <c r="AX8" i="11" s="1"/>
  <c r="AL18" i="11"/>
  <c r="AL15" i="11"/>
  <c r="AM9" i="11"/>
  <c r="AM8" i="11" s="1"/>
  <c r="CG39" i="10"/>
  <c r="P38" i="3" s="1"/>
  <c r="BJ38" i="10"/>
  <c r="BJ39" i="10"/>
  <c r="O38" i="3" s="1"/>
  <c r="AB10" i="14"/>
  <c r="CG40" i="10"/>
  <c r="P39" i="3" s="1"/>
  <c r="BJ40" i="10"/>
  <c r="O39" i="3" s="1"/>
  <c r="CG32" i="10"/>
  <c r="P31" i="3" s="1"/>
  <c r="BJ32" i="10"/>
  <c r="O31" i="3" s="1"/>
  <c r="O29" i="3"/>
  <c r="P29" i="3"/>
  <c r="CG18" i="10"/>
  <c r="P17" i="3" s="1"/>
  <c r="BJ18" i="10"/>
  <c r="O17" i="3" s="1"/>
  <c r="BP19" i="11"/>
  <c r="BE19" i="11"/>
  <c r="AW14" i="11"/>
  <c r="P21" i="3" s="1"/>
  <c r="DC14" i="10"/>
  <c r="Q13" i="3" s="1"/>
  <c r="DC81" i="10"/>
  <c r="DC13" i="10"/>
  <c r="Q12" i="3" s="1"/>
  <c r="DC10" i="10"/>
  <c r="DC11" i="10"/>
  <c r="Q10" i="3" s="1"/>
  <c r="DC12" i="10"/>
  <c r="Q11" i="3" s="1"/>
  <c r="DC15" i="10"/>
  <c r="Q14" i="3" s="1"/>
  <c r="DC16" i="10"/>
  <c r="Q15" i="3" s="1"/>
  <c r="DC18" i="10"/>
  <c r="Q17" i="3" s="1"/>
  <c r="DC19" i="10"/>
  <c r="DC20" i="10"/>
  <c r="DC21" i="10"/>
  <c r="Q20" i="3" s="1"/>
  <c r="DC22" i="10"/>
  <c r="DC23" i="10"/>
  <c r="DC24" i="10"/>
  <c r="Q23" i="3" s="1"/>
  <c r="DC25" i="10"/>
  <c r="Q24" i="3" s="1"/>
  <c r="DC26" i="10"/>
  <c r="DC27" i="10"/>
  <c r="DC28" i="10"/>
  <c r="DC29" i="10"/>
  <c r="Q28" i="3" s="1"/>
  <c r="DC30" i="10"/>
  <c r="Q29" i="3" s="1"/>
  <c r="DC31" i="10"/>
  <c r="Q30" i="3" s="1"/>
  <c r="DC32" i="10"/>
  <c r="Q31" i="3" s="1"/>
  <c r="DC33" i="10"/>
  <c r="Q32" i="3" s="1"/>
  <c r="DC34" i="10"/>
  <c r="Q33" i="3" s="1"/>
  <c r="DC36" i="10"/>
  <c r="Q35" i="3" s="1"/>
  <c r="DC37" i="10"/>
  <c r="Q36" i="3" s="1"/>
  <c r="DC40" i="10"/>
  <c r="Q39" i="3" s="1"/>
  <c r="DC43" i="10"/>
  <c r="DC46" i="10"/>
  <c r="DC47" i="10"/>
  <c r="DC48" i="10"/>
  <c r="DC49" i="10"/>
  <c r="DC50" i="10"/>
  <c r="DC51" i="10"/>
  <c r="Q45" i="3" s="1"/>
  <c r="DC52" i="10"/>
  <c r="DC53" i="10"/>
  <c r="DC55" i="10"/>
  <c r="DC56" i="10"/>
  <c r="DC58" i="10"/>
  <c r="Q48" i="3" s="1"/>
  <c r="DC59" i="10"/>
  <c r="DC62" i="10"/>
  <c r="Q56" i="3" s="1"/>
  <c r="DC63" i="10"/>
  <c r="Q57" i="3" s="1"/>
  <c r="DC64" i="10"/>
  <c r="Q58" i="3" s="1"/>
  <c r="DC65" i="10"/>
  <c r="DC69" i="10"/>
  <c r="Q63" i="3" s="1"/>
  <c r="DC70" i="10"/>
  <c r="Q64" i="3" s="1"/>
  <c r="DC72" i="10"/>
  <c r="DC74" i="10"/>
  <c r="DC75" i="10"/>
  <c r="DC76" i="10"/>
  <c r="Q70" i="3" s="1"/>
  <c r="DC77" i="10"/>
  <c r="DC78" i="10"/>
  <c r="DC79" i="10"/>
  <c r="DC82" i="10"/>
  <c r="DC84" i="10"/>
  <c r="DC85" i="10"/>
  <c r="DX83" i="10"/>
  <c r="DW83" i="10"/>
  <c r="DV83" i="10"/>
  <c r="DU83" i="10"/>
  <c r="DS83" i="10"/>
  <c r="DR83" i="10"/>
  <c r="DQ83" i="10"/>
  <c r="DP83" i="10"/>
  <c r="DO83" i="10"/>
  <c r="DN83" i="10"/>
  <c r="DM83" i="10"/>
  <c r="DL83" i="10"/>
  <c r="DK83" i="10"/>
  <c r="DJ83" i="10"/>
  <c r="DI83" i="10"/>
  <c r="DH83" i="10"/>
  <c r="DG83" i="10"/>
  <c r="DF83" i="10"/>
  <c r="DE83" i="10"/>
  <c r="DD83" i="10"/>
  <c r="DX80" i="10"/>
  <c r="DW80" i="10"/>
  <c r="DV80" i="10"/>
  <c r="DU80" i="10"/>
  <c r="DS80" i="10"/>
  <c r="DR80" i="10"/>
  <c r="DQ80" i="10"/>
  <c r="DP80" i="10"/>
  <c r="DO80" i="10"/>
  <c r="DN80" i="10"/>
  <c r="DM80" i="10"/>
  <c r="DL80" i="10"/>
  <c r="DK80" i="10"/>
  <c r="DJ80" i="10"/>
  <c r="DI80" i="10"/>
  <c r="DH80" i="10"/>
  <c r="DG80" i="10"/>
  <c r="DF80" i="10"/>
  <c r="DE80" i="10"/>
  <c r="DD80" i="10"/>
  <c r="DC73" i="10"/>
  <c r="Q67" i="3" s="1"/>
  <c r="DX66" i="10"/>
  <c r="DW66" i="10"/>
  <c r="DU66" i="10"/>
  <c r="DS66" i="10"/>
  <c r="DR66" i="10"/>
  <c r="DQ66" i="10"/>
  <c r="DP66" i="10"/>
  <c r="DO66" i="10"/>
  <c r="DN66" i="10"/>
  <c r="DM66" i="10"/>
  <c r="DL66" i="10"/>
  <c r="DK66" i="10"/>
  <c r="DJ66" i="10"/>
  <c r="DI66" i="10"/>
  <c r="DH66" i="10"/>
  <c r="DG66" i="10"/>
  <c r="DF66" i="10"/>
  <c r="DD66" i="10"/>
  <c r="DX61" i="10"/>
  <c r="DW61" i="10"/>
  <c r="DV61" i="10"/>
  <c r="DU61" i="10"/>
  <c r="DS61" i="10"/>
  <c r="DR61" i="10"/>
  <c r="DQ61" i="10"/>
  <c r="DP61" i="10"/>
  <c r="DO61" i="10"/>
  <c r="DN61" i="10"/>
  <c r="DM61" i="10"/>
  <c r="DL61" i="10"/>
  <c r="DK61" i="10"/>
  <c r="DJ61" i="10"/>
  <c r="DI61" i="10"/>
  <c r="DH61" i="10"/>
  <c r="DC61" i="10" s="1"/>
  <c r="DG61" i="10"/>
  <c r="DF61" i="10"/>
  <c r="DE61" i="10"/>
  <c r="DD61" i="10"/>
  <c r="DX57" i="10"/>
  <c r="DX54" i="10" s="1"/>
  <c r="DW57" i="10"/>
  <c r="DW54" i="10" s="1"/>
  <c r="DV57" i="10"/>
  <c r="DV54" i="10" s="1"/>
  <c r="DU57" i="10"/>
  <c r="DU54" i="10" s="1"/>
  <c r="DS57" i="10"/>
  <c r="DS54" i="10" s="1"/>
  <c r="DR57" i="10"/>
  <c r="DR54" i="10" s="1"/>
  <c r="DQ57" i="10"/>
  <c r="DQ54" i="10" s="1"/>
  <c r="DP57" i="10"/>
  <c r="DP54" i="10" s="1"/>
  <c r="DO57" i="10"/>
  <c r="DO54" i="10" s="1"/>
  <c r="DN57" i="10"/>
  <c r="DN54" i="10" s="1"/>
  <c r="DM57" i="10"/>
  <c r="DM54" i="10" s="1"/>
  <c r="DL57" i="10"/>
  <c r="DL54" i="10" s="1"/>
  <c r="DK57" i="10"/>
  <c r="DK54" i="10" s="1"/>
  <c r="DJ57" i="10"/>
  <c r="DJ54" i="10" s="1"/>
  <c r="DI57" i="10"/>
  <c r="DI54" i="10" s="1"/>
  <c r="DH57" i="10"/>
  <c r="DH54" i="10" s="1"/>
  <c r="DG57" i="10"/>
  <c r="DG54" i="10" s="1"/>
  <c r="DF57" i="10"/>
  <c r="DF54" i="10" s="1"/>
  <c r="DE57" i="10"/>
  <c r="DE54" i="10" s="1"/>
  <c r="DD57" i="10"/>
  <c r="DW45" i="10"/>
  <c r="DW41" i="10" s="1"/>
  <c r="DV45" i="10"/>
  <c r="DV41" i="10" s="1"/>
  <c r="DU45" i="10"/>
  <c r="DU41" i="10" s="1"/>
  <c r="DS45" i="10"/>
  <c r="DS41" i="10" s="1"/>
  <c r="DR45" i="10"/>
  <c r="DR41" i="10" s="1"/>
  <c r="DQ45" i="10"/>
  <c r="DQ41" i="10" s="1"/>
  <c r="DP45" i="10"/>
  <c r="DP41" i="10" s="1"/>
  <c r="DO45" i="10"/>
  <c r="DO41" i="10" s="1"/>
  <c r="DN45" i="10"/>
  <c r="DN41" i="10" s="1"/>
  <c r="DM45" i="10"/>
  <c r="DM41" i="10" s="1"/>
  <c r="DL45" i="10"/>
  <c r="DL41" i="10" s="1"/>
  <c r="DK45" i="10"/>
  <c r="DK41" i="10" s="1"/>
  <c r="DJ45" i="10"/>
  <c r="DJ41" i="10" s="1"/>
  <c r="DI45" i="10"/>
  <c r="DI41" i="10" s="1"/>
  <c r="DH45" i="10"/>
  <c r="DH41" i="10" s="1"/>
  <c r="DG45" i="10"/>
  <c r="DG41" i="10" s="1"/>
  <c r="DE45" i="10"/>
  <c r="DD45" i="10"/>
  <c r="DD41" i="10" s="1"/>
  <c r="DC42" i="10"/>
  <c r="DX41" i="10"/>
  <c r="DF41" i="10"/>
  <c r="DC35" i="10"/>
  <c r="Q34" i="3" s="1"/>
  <c r="DC17" i="10"/>
  <c r="Q16" i="3" s="1"/>
  <c r="DP9" i="10"/>
  <c r="DX9" i="10"/>
  <c r="DW9" i="10"/>
  <c r="DU9" i="10"/>
  <c r="DS9" i="10"/>
  <c r="DR9" i="10"/>
  <c r="DQ9" i="10"/>
  <c r="DO9" i="10"/>
  <c r="DN9" i="10"/>
  <c r="DM9" i="10"/>
  <c r="DK9" i="10"/>
  <c r="DJ9" i="10"/>
  <c r="DH9" i="10"/>
  <c r="DG9" i="10"/>
  <c r="DF9" i="10"/>
  <c r="DE9" i="10"/>
  <c r="DD9" i="10"/>
  <c r="CW83" i="10"/>
  <c r="CW80" i="10"/>
  <c r="CW66" i="10"/>
  <c r="CW61" i="10"/>
  <c r="CW57" i="10"/>
  <c r="CW54" i="10" s="1"/>
  <c r="CW45" i="10"/>
  <c r="CW41" i="10" s="1"/>
  <c r="CW9" i="10"/>
  <c r="CV83" i="10"/>
  <c r="CV80" i="10"/>
  <c r="CV66" i="10"/>
  <c r="CV61" i="10"/>
  <c r="CV57" i="10"/>
  <c r="CV54" i="10" s="1"/>
  <c r="CV45" i="10"/>
  <c r="CV41" i="10" s="1"/>
  <c r="CV9" i="10"/>
  <c r="CU83" i="10"/>
  <c r="CU80" i="10"/>
  <c r="CU66" i="10"/>
  <c r="CU61" i="10"/>
  <c r="CU57" i="10"/>
  <c r="CU54" i="10" s="1"/>
  <c r="CU45" i="10"/>
  <c r="CU41" i="10" s="1"/>
  <c r="CU9" i="10"/>
  <c r="CT83" i="10"/>
  <c r="CT80" i="10"/>
  <c r="CT66" i="10"/>
  <c r="CT61" i="10"/>
  <c r="CT57" i="10"/>
  <c r="CT54" i="10" s="1"/>
  <c r="CT45" i="10"/>
  <c r="CT41" i="10" s="1"/>
  <c r="CS83" i="10"/>
  <c r="CS80" i="10"/>
  <c r="CS66" i="10"/>
  <c r="CS61" i="10"/>
  <c r="CS57" i="10"/>
  <c r="CS54" i="10" s="1"/>
  <c r="CS45" i="10"/>
  <c r="CS41" i="10" s="1"/>
  <c r="CS9" i="10"/>
  <c r="CP9" i="10"/>
  <c r="CO83" i="10"/>
  <c r="CO80" i="10"/>
  <c r="CO66" i="10"/>
  <c r="CO61" i="10"/>
  <c r="CO57" i="10"/>
  <c r="CO54" i="10" s="1"/>
  <c r="CO45" i="10"/>
  <c r="CO41" i="10" s="1"/>
  <c r="CN83" i="10"/>
  <c r="CN80" i="10"/>
  <c r="CN66" i="10"/>
  <c r="CN61" i="10"/>
  <c r="CN57" i="10"/>
  <c r="CN54" i="10" s="1"/>
  <c r="CN45" i="10"/>
  <c r="CN41" i="10" s="1"/>
  <c r="CN9" i="10"/>
  <c r="CM9" i="10"/>
  <c r="DV66" i="10"/>
  <c r="DV60" i="10" s="1"/>
  <c r="BJ23" i="10"/>
  <c r="BJ81" i="10"/>
  <c r="BZ83" i="10"/>
  <c r="BZ80" i="10"/>
  <c r="BZ66" i="10"/>
  <c r="BZ61" i="10"/>
  <c r="BZ57" i="10"/>
  <c r="BZ54" i="10" s="1"/>
  <c r="BZ45" i="10"/>
  <c r="BZ41" i="10" s="1"/>
  <c r="BZ9" i="10"/>
  <c r="BY83" i="10"/>
  <c r="BY80" i="10"/>
  <c r="BY66" i="10"/>
  <c r="BY61" i="10"/>
  <c r="BY57" i="10"/>
  <c r="BY54" i="10" s="1"/>
  <c r="BY45" i="10"/>
  <c r="BY41" i="10" s="1"/>
  <c r="BY9" i="10"/>
  <c r="BW9" i="10"/>
  <c r="BW83" i="10"/>
  <c r="BW80" i="10"/>
  <c r="BW66" i="10"/>
  <c r="BW61" i="10"/>
  <c r="BW57" i="10"/>
  <c r="BW54" i="10" s="1"/>
  <c r="BW45" i="10"/>
  <c r="BW41" i="10" s="1"/>
  <c r="BJ35" i="10"/>
  <c r="O34" i="3" s="1"/>
  <c r="BQ83" i="10"/>
  <c r="BQ80" i="10"/>
  <c r="BQ66" i="10"/>
  <c r="BQ61" i="10"/>
  <c r="BQ57" i="10"/>
  <c r="BQ54" i="10" s="1"/>
  <c r="BQ45" i="10"/>
  <c r="BQ41" i="10" s="1"/>
  <c r="BQ9" i="10"/>
  <c r="BP9" i="10"/>
  <c r="BJ29" i="10"/>
  <c r="O28" i="3" s="1"/>
  <c r="CG72" i="10"/>
  <c r="Q69" i="3"/>
  <c r="CG75" i="10"/>
  <c r="P69" i="3" s="1"/>
  <c r="CZ66" i="10"/>
  <c r="CX83" i="10"/>
  <c r="CX80" i="10"/>
  <c r="CX66" i="10"/>
  <c r="CX61" i="10"/>
  <c r="CX57" i="10"/>
  <c r="CX54" i="10" s="1"/>
  <c r="CX45" i="10"/>
  <c r="CX41" i="10" s="1"/>
  <c r="CX9" i="10"/>
  <c r="CK61" i="10"/>
  <c r="CL83" i="10"/>
  <c r="CL80" i="10"/>
  <c r="CL66" i="10"/>
  <c r="CL61" i="10"/>
  <c r="CL57" i="10"/>
  <c r="CL54" i="10" s="1"/>
  <c r="CL45" i="10"/>
  <c r="CL41" i="10" s="1"/>
  <c r="CL9" i="10"/>
  <c r="CG64" i="10"/>
  <c r="P58" i="3" s="1"/>
  <c r="BJ72" i="10"/>
  <c r="BN61" i="10"/>
  <c r="BJ68" i="10"/>
  <c r="BO66" i="10"/>
  <c r="U9" i="14"/>
  <c r="V9" i="14"/>
  <c r="V8" i="14" s="1"/>
  <c r="Y9" i="14"/>
  <c r="Z9" i="14"/>
  <c r="Z8" i="14" s="1"/>
  <c r="AD9" i="14"/>
  <c r="AD8" i="14" s="1"/>
  <c r="T10" i="14"/>
  <c r="X10" i="14"/>
  <c r="T18" i="14"/>
  <c r="X18" i="14"/>
  <c r="AB18" i="14"/>
  <c r="T19" i="14"/>
  <c r="X19" i="14"/>
  <c r="AB19" i="14"/>
  <c r="T20" i="14"/>
  <c r="X20" i="14"/>
  <c r="AB20" i="14"/>
  <c r="T21" i="14"/>
  <c r="X21" i="14"/>
  <c r="AB21" i="14"/>
  <c r="T22" i="14"/>
  <c r="X22" i="14"/>
  <c r="AB22" i="14"/>
  <c r="T23" i="14"/>
  <c r="X23" i="14"/>
  <c r="AB23" i="14"/>
  <c r="T25" i="14"/>
  <c r="X25" i="14"/>
  <c r="AB25" i="14"/>
  <c r="X26" i="14"/>
  <c r="T28" i="14"/>
  <c r="X28" i="14"/>
  <c r="AB28" i="14"/>
  <c r="T33" i="14"/>
  <c r="AB33" i="14"/>
  <c r="T34" i="14"/>
  <c r="X34" i="14"/>
  <c r="P77" i="3" s="1"/>
  <c r="P76" i="3" s="1"/>
  <c r="AB34" i="14"/>
  <c r="T35" i="14"/>
  <c r="X35" i="14"/>
  <c r="AB35" i="14"/>
  <c r="T36" i="14"/>
  <c r="X36" i="14"/>
  <c r="AB36" i="14"/>
  <c r="T37" i="14"/>
  <c r="X37" i="14"/>
  <c r="AB37" i="14"/>
  <c r="T38" i="14"/>
  <c r="X38" i="14"/>
  <c r="AB38" i="14"/>
  <c r="O9" i="15"/>
  <c r="O8" i="15"/>
  <c r="N8" i="15" s="1"/>
  <c r="N25" i="15" s="1"/>
  <c r="Q9" i="15"/>
  <c r="Q8" i="15"/>
  <c r="P8" i="15" s="1"/>
  <c r="P25" i="15" s="1"/>
  <c r="S9" i="15"/>
  <c r="S8" i="15"/>
  <c r="R8" i="15" s="1"/>
  <c r="R25" i="15" s="1"/>
  <c r="N10" i="15"/>
  <c r="P10" i="15"/>
  <c r="R10" i="15"/>
  <c r="U9" i="13"/>
  <c r="T9" i="13"/>
  <c r="X9" i="13"/>
  <c r="X8" i="13" s="1"/>
  <c r="W8" i="13" s="1"/>
  <c r="W26" i="13" s="1"/>
  <c r="Z9" i="13"/>
  <c r="Z8" i="13" s="1"/>
  <c r="Y8" i="13" s="1"/>
  <c r="Y26" i="13" s="1"/>
  <c r="W10" i="13"/>
  <c r="Y10" i="13"/>
  <c r="AK9" i="12"/>
  <c r="AK8" i="12" s="1"/>
  <c r="AN9" i="12"/>
  <c r="AQ9" i="12"/>
  <c r="AW9" i="12"/>
  <c r="AW8" i="12" s="1"/>
  <c r="AX9" i="12"/>
  <c r="BA9" i="12"/>
  <c r="AH11" i="12"/>
  <c r="AH13" i="12"/>
  <c r="AR13" i="12"/>
  <c r="AK17" i="12"/>
  <c r="AM17" i="12"/>
  <c r="AN17" i="12"/>
  <c r="AQ17" i="12"/>
  <c r="AV17" i="12"/>
  <c r="AW17" i="12"/>
  <c r="AX17" i="12"/>
  <c r="BA17" i="12"/>
  <c r="BF17" i="12"/>
  <c r="BG17" i="12"/>
  <c r="BH17" i="12"/>
  <c r="BK17" i="12"/>
  <c r="AH18" i="12"/>
  <c r="AR18" i="12"/>
  <c r="BB18" i="12"/>
  <c r="AH19" i="12"/>
  <c r="AR19" i="12"/>
  <c r="BB19" i="12"/>
  <c r="AH20" i="12"/>
  <c r="AR20" i="12"/>
  <c r="P46" i="3" s="1"/>
  <c r="BB20" i="12"/>
  <c r="Q46" i="3" s="1"/>
  <c r="AH21" i="12"/>
  <c r="AR21" i="12"/>
  <c r="BB21" i="12"/>
  <c r="AK22" i="12"/>
  <c r="AM22" i="12"/>
  <c r="AN22" i="12"/>
  <c r="AQ22" i="12"/>
  <c r="AV22" i="12"/>
  <c r="AW22" i="12"/>
  <c r="AR22" i="12" s="1"/>
  <c r="AX22" i="12"/>
  <c r="BA22" i="12"/>
  <c r="BF22" i="12"/>
  <c r="BG22" i="12"/>
  <c r="BH22" i="12"/>
  <c r="BK22" i="12"/>
  <c r="AH23" i="12"/>
  <c r="AR23" i="12"/>
  <c r="BB23" i="12"/>
  <c r="AH24" i="12"/>
  <c r="AR24" i="12"/>
  <c r="BB24" i="12"/>
  <c r="AH25" i="12"/>
  <c r="AR25" i="12"/>
  <c r="BB25" i="12"/>
  <c r="AH26" i="12"/>
  <c r="AR26" i="12"/>
  <c r="BB26" i="12"/>
  <c r="AK27" i="12"/>
  <c r="AM27" i="12"/>
  <c r="AN27" i="12"/>
  <c r="AQ27" i="12"/>
  <c r="AV27" i="12"/>
  <c r="AW27" i="12"/>
  <c r="AX27" i="12"/>
  <c r="AH28" i="12"/>
  <c r="AR28" i="12"/>
  <c r="BB28" i="12"/>
  <c r="BF29" i="12"/>
  <c r="BF27" i="12" s="1"/>
  <c r="BG29" i="12"/>
  <c r="BG27" i="12" s="1"/>
  <c r="BH29" i="12"/>
  <c r="BH27" i="12"/>
  <c r="BK29" i="12"/>
  <c r="BK27" i="12" s="1"/>
  <c r="AH31" i="12"/>
  <c r="AR31" i="12"/>
  <c r="BB31" i="12"/>
  <c r="AH32" i="12"/>
  <c r="AR32" i="12"/>
  <c r="BB32" i="12"/>
  <c r="AH33" i="12"/>
  <c r="AR33" i="12"/>
  <c r="BB33" i="12"/>
  <c r="AK34" i="12"/>
  <c r="AH34" i="12"/>
  <c r="AM34" i="12"/>
  <c r="AN34" i="12"/>
  <c r="AQ34" i="12"/>
  <c r="AV34" i="12"/>
  <c r="AR34" i="12" s="1"/>
  <c r="AW34" i="12"/>
  <c r="AX34" i="12"/>
  <c r="BA34" i="12"/>
  <c r="BF34" i="12"/>
  <c r="BB34" i="12" s="1"/>
  <c r="BG34" i="12"/>
  <c r="BH34" i="12"/>
  <c r="BK34" i="12"/>
  <c r="AH35" i="12"/>
  <c r="AR35" i="12"/>
  <c r="BB35" i="12"/>
  <c r="AH36" i="12"/>
  <c r="AR36" i="12"/>
  <c r="BB36" i="12"/>
  <c r="AH37" i="12"/>
  <c r="AR37" i="12"/>
  <c r="BB37" i="12"/>
  <c r="AO9" i="11"/>
  <c r="AS9" i="11"/>
  <c r="AZ9" i="11"/>
  <c r="BA9" i="11"/>
  <c r="BB9" i="11"/>
  <c r="BD9" i="11"/>
  <c r="AL12" i="11"/>
  <c r="AW12" i="11"/>
  <c r="BH12" i="11"/>
  <c r="Q19" i="3" s="1"/>
  <c r="AL13" i="11"/>
  <c r="AW13" i="11"/>
  <c r="BH13" i="11"/>
  <c r="BH14" i="11"/>
  <c r="AW15" i="11"/>
  <c r="AO19" i="11"/>
  <c r="AP19" i="11"/>
  <c r="AQ19" i="11"/>
  <c r="AS19" i="11"/>
  <c r="AL19" i="11" s="1"/>
  <c r="AT19" i="11"/>
  <c r="AZ19" i="11"/>
  <c r="BA19" i="11"/>
  <c r="BB19" i="11"/>
  <c r="BD19" i="11"/>
  <c r="BK19" i="11"/>
  <c r="BL19" i="11"/>
  <c r="BM19" i="11"/>
  <c r="BO19" i="11"/>
  <c r="AW20" i="11"/>
  <c r="BH20" i="11"/>
  <c r="Q41" i="3" s="1"/>
  <c r="AL21" i="11"/>
  <c r="AW21" i="11"/>
  <c r="BH21" i="11"/>
  <c r="AL22" i="11"/>
  <c r="AW22" i="11"/>
  <c r="BH22" i="11"/>
  <c r="AO23" i="11"/>
  <c r="AP23" i="11"/>
  <c r="AQ23" i="11"/>
  <c r="AS23" i="11"/>
  <c r="AT23" i="11"/>
  <c r="AZ23" i="11"/>
  <c r="BA23" i="11"/>
  <c r="BB23" i="11"/>
  <c r="BD23" i="11"/>
  <c r="BE23" i="11"/>
  <c r="BK23" i="11"/>
  <c r="BL23" i="11"/>
  <c r="BM23" i="11"/>
  <c r="BO23" i="11"/>
  <c r="BP23" i="11"/>
  <c r="AL24" i="11"/>
  <c r="AW24" i="11"/>
  <c r="BH24" i="11"/>
  <c r="AL25" i="11"/>
  <c r="AW25" i="11"/>
  <c r="BH25" i="11"/>
  <c r="AL26" i="11"/>
  <c r="AW26" i="11"/>
  <c r="BH26" i="11"/>
  <c r="AL27" i="11"/>
  <c r="AW27" i="11"/>
  <c r="BH27" i="11"/>
  <c r="AL29" i="11"/>
  <c r="N29" i="11" s="1"/>
  <c r="AW29" i="11"/>
  <c r="Z29" i="11" s="1"/>
  <c r="Z28" i="11" s="1"/>
  <c r="BH29" i="11"/>
  <c r="AO30" i="11"/>
  <c r="AO28" i="11" s="1"/>
  <c r="AP30" i="11"/>
  <c r="AP28" i="11" s="1"/>
  <c r="AQ30" i="11"/>
  <c r="AQ28" i="11" s="1"/>
  <c r="AS30" i="11"/>
  <c r="AS28" i="11" s="1"/>
  <c r="AT30" i="11"/>
  <c r="AT28" i="11" s="1"/>
  <c r="AZ30" i="11"/>
  <c r="AZ28" i="11" s="1"/>
  <c r="BA30" i="11"/>
  <c r="BA28" i="11" s="1"/>
  <c r="BB30" i="11"/>
  <c r="BB28" i="11" s="1"/>
  <c r="BD30" i="11"/>
  <c r="BD28" i="11" s="1"/>
  <c r="BE30" i="11"/>
  <c r="BE28" i="11" s="1"/>
  <c r="BK30" i="11"/>
  <c r="BK28" i="11"/>
  <c r="BL30" i="11"/>
  <c r="BL28" i="11" s="1"/>
  <c r="BM30" i="11"/>
  <c r="BM28" i="11" s="1"/>
  <c r="BO30" i="11"/>
  <c r="BP30" i="11"/>
  <c r="AL31" i="11"/>
  <c r="AW31" i="11"/>
  <c r="BH31" i="11"/>
  <c r="AL32" i="11"/>
  <c r="AW32" i="11"/>
  <c r="BH32" i="11"/>
  <c r="BH33" i="11"/>
  <c r="AL35" i="11"/>
  <c r="AW35" i="11"/>
  <c r="BH35" i="11"/>
  <c r="Q68" i="3" s="1"/>
  <c r="AP37" i="11"/>
  <c r="AQ37" i="11"/>
  <c r="AS37" i="11"/>
  <c r="AT37" i="11"/>
  <c r="BA37" i="11"/>
  <c r="BB37" i="11"/>
  <c r="BD37" i="11"/>
  <c r="BE37" i="11"/>
  <c r="BK37" i="11"/>
  <c r="BL37" i="11"/>
  <c r="BM37" i="11"/>
  <c r="BO37" i="11"/>
  <c r="BP37" i="11"/>
  <c r="AL38" i="11"/>
  <c r="BH39" i="11"/>
  <c r="AO40" i="11"/>
  <c r="AP40" i="11"/>
  <c r="AQ40" i="11"/>
  <c r="AS40" i="11"/>
  <c r="AT40" i="11"/>
  <c r="AZ40" i="11"/>
  <c r="BA40" i="11"/>
  <c r="BB40" i="11"/>
  <c r="BD40" i="11"/>
  <c r="BE40" i="11"/>
  <c r="BK40" i="11"/>
  <c r="BL40" i="11"/>
  <c r="BM40" i="11"/>
  <c r="BO40" i="11"/>
  <c r="BP40" i="11"/>
  <c r="AL41" i="11"/>
  <c r="N41" i="11" s="1"/>
  <c r="AW41" i="11"/>
  <c r="Z41" i="11" s="1"/>
  <c r="BH41" i="11"/>
  <c r="AL42" i="11"/>
  <c r="N42" i="11" s="1"/>
  <c r="AW42" i="11"/>
  <c r="Z42" i="11" s="1"/>
  <c r="BH42" i="11"/>
  <c r="AL43" i="11"/>
  <c r="N43" i="11" s="1"/>
  <c r="AW43" i="11"/>
  <c r="Z43" i="11" s="1"/>
  <c r="BH43" i="11"/>
  <c r="BK9" i="10"/>
  <c r="BL9" i="10"/>
  <c r="BM9" i="10"/>
  <c r="BO9" i="10"/>
  <c r="BS9" i="10"/>
  <c r="BT9" i="10"/>
  <c r="BU9" i="10"/>
  <c r="BV9" i="10"/>
  <c r="BX9" i="10"/>
  <c r="CB9" i="10"/>
  <c r="CD9" i="10"/>
  <c r="CE9" i="10"/>
  <c r="CH9" i="10"/>
  <c r="CI9" i="10"/>
  <c r="CJ9" i="10"/>
  <c r="CK9" i="10"/>
  <c r="CQ9" i="10"/>
  <c r="CR9" i="10"/>
  <c r="CY9" i="10"/>
  <c r="CZ9" i="10"/>
  <c r="DA9" i="10"/>
  <c r="DB9" i="10"/>
  <c r="BJ10" i="10"/>
  <c r="O9" i="3" s="1"/>
  <c r="CG10" i="10"/>
  <c r="P9" i="3" s="1"/>
  <c r="BJ11" i="10"/>
  <c r="O10" i="3" s="1"/>
  <c r="CG11" i="10"/>
  <c r="BJ12" i="10"/>
  <c r="O11" i="3" s="1"/>
  <c r="CG12" i="10"/>
  <c r="P11" i="3" s="1"/>
  <c r="BJ13" i="10"/>
  <c r="O12" i="3" s="1"/>
  <c r="CG13" i="10"/>
  <c r="P12" i="3" s="1"/>
  <c r="BJ15" i="10"/>
  <c r="O14" i="3" s="1"/>
  <c r="CG15" i="10"/>
  <c r="P14" i="3" s="1"/>
  <c r="BJ16" i="10"/>
  <c r="O15" i="3" s="1"/>
  <c r="CG16" i="10"/>
  <c r="P15" i="3" s="1"/>
  <c r="BJ17" i="10"/>
  <c r="CG17" i="10"/>
  <c r="P16" i="3" s="1"/>
  <c r="BJ19" i="10"/>
  <c r="O18" i="3" s="1"/>
  <c r="CG19" i="10"/>
  <c r="BJ20" i="10"/>
  <c r="CG20" i="10"/>
  <c r="CG21" i="10"/>
  <c r="P20" i="3" s="1"/>
  <c r="BJ22" i="10"/>
  <c r="CG22" i="10"/>
  <c r="CG23" i="10"/>
  <c r="BJ24" i="10"/>
  <c r="O23" i="3" s="1"/>
  <c r="CG24" i="10"/>
  <c r="P23" i="3" s="1"/>
  <c r="BJ25" i="10"/>
  <c r="O24" i="3" s="1"/>
  <c r="CG25" i="10"/>
  <c r="BJ26" i="10"/>
  <c r="CG26" i="10"/>
  <c r="O27" i="3"/>
  <c r="CG28" i="10"/>
  <c r="CG29" i="10"/>
  <c r="P28" i="3" s="1"/>
  <c r="BJ31" i="10"/>
  <c r="O30" i="3" s="1"/>
  <c r="CG31" i="10"/>
  <c r="P30" i="3" s="1"/>
  <c r="BJ33" i="10"/>
  <c r="O32" i="3" s="1"/>
  <c r="CG33" i="10"/>
  <c r="P32" i="3" s="1"/>
  <c r="BJ34" i="10"/>
  <c r="O33" i="3" s="1"/>
  <c r="CG34" i="10"/>
  <c r="P33" i="3" s="1"/>
  <c r="CG35" i="10"/>
  <c r="P34" i="3" s="1"/>
  <c r="BJ36" i="10"/>
  <c r="O35" i="3" s="1"/>
  <c r="CG36" i="10"/>
  <c r="P35" i="3" s="1"/>
  <c r="BJ37" i="10"/>
  <c r="O36" i="3" s="1"/>
  <c r="CG37" i="10"/>
  <c r="P36" i="3" s="1"/>
  <c r="CG38" i="10"/>
  <c r="BM41" i="10"/>
  <c r="BO41" i="10"/>
  <c r="CE41" i="10"/>
  <c r="CJ41" i="10"/>
  <c r="DB41" i="10"/>
  <c r="CG42" i="10"/>
  <c r="CG43" i="10"/>
  <c r="BK45" i="10"/>
  <c r="BK41" i="10" s="1"/>
  <c r="BL45" i="10"/>
  <c r="BL41" i="10" s="1"/>
  <c r="BN45" i="10"/>
  <c r="BN41" i="10" s="1"/>
  <c r="BP45" i="10"/>
  <c r="BP41" i="10" s="1"/>
  <c r="BR45" i="10"/>
  <c r="BS45" i="10"/>
  <c r="BS41" i="10" s="1"/>
  <c r="BT45" i="10"/>
  <c r="BT41" i="10" s="1"/>
  <c r="BU45" i="10"/>
  <c r="BU41" i="10" s="1"/>
  <c r="BV45" i="10"/>
  <c r="BV41" i="10" s="1"/>
  <c r="BX45" i="10"/>
  <c r="BX41" i="10" s="1"/>
  <c r="CB45" i="10"/>
  <c r="CB41" i="10" s="1"/>
  <c r="CC45" i="10"/>
  <c r="CC41" i="10" s="1"/>
  <c r="CD45" i="10"/>
  <c r="CD41" i="10" s="1"/>
  <c r="CH45" i="10"/>
  <c r="CH41" i="10" s="1"/>
  <c r="CI45" i="10"/>
  <c r="CI41" i="10" s="1"/>
  <c r="CK45" i="10"/>
  <c r="CK41" i="10" s="1"/>
  <c r="CM45" i="10"/>
  <c r="CM41" i="10" s="1"/>
  <c r="CP45" i="10"/>
  <c r="CP41" i="10" s="1"/>
  <c r="CQ45" i="10"/>
  <c r="CQ41" i="10" s="1"/>
  <c r="CR45" i="10"/>
  <c r="CR41" i="10" s="1"/>
  <c r="CY45" i="10"/>
  <c r="CY41" i="10" s="1"/>
  <c r="CZ45" i="10"/>
  <c r="CZ41" i="10" s="1"/>
  <c r="DA45" i="10"/>
  <c r="DA41" i="10" s="1"/>
  <c r="BJ51" i="10"/>
  <c r="O45" i="3" s="1"/>
  <c r="CG51" i="10"/>
  <c r="P45" i="3" s="1"/>
  <c r="BJ52" i="10"/>
  <c r="CG52" i="10"/>
  <c r="BJ53" i="10"/>
  <c r="CG53" i="10"/>
  <c r="P47" i="3" s="1"/>
  <c r="BJ55" i="10"/>
  <c r="CG55" i="10"/>
  <c r="BJ56" i="10"/>
  <c r="CG56" i="10"/>
  <c r="BK57" i="10"/>
  <c r="BK54" i="10" s="1"/>
  <c r="BL57" i="10"/>
  <c r="BL54" i="10" s="1"/>
  <c r="BM57" i="10"/>
  <c r="BM54" i="10" s="1"/>
  <c r="BN57" i="10"/>
  <c r="BN54" i="10" s="1"/>
  <c r="BO57" i="10"/>
  <c r="BO54" i="10" s="1"/>
  <c r="BP57" i="10"/>
  <c r="BP54" i="10" s="1"/>
  <c r="BR57" i="10"/>
  <c r="BR54" i="10" s="1"/>
  <c r="BS57" i="10"/>
  <c r="BS54" i="10" s="1"/>
  <c r="BT57" i="10"/>
  <c r="BT54" i="10" s="1"/>
  <c r="BU57" i="10"/>
  <c r="BU54" i="10" s="1"/>
  <c r="BV57" i="10"/>
  <c r="BV54" i="10" s="1"/>
  <c r="BX57" i="10"/>
  <c r="BX54" i="10" s="1"/>
  <c r="CB57" i="10"/>
  <c r="CB54" i="10" s="1"/>
  <c r="CC57" i="10"/>
  <c r="CC54" i="10" s="1"/>
  <c r="CD57" i="10"/>
  <c r="CD54" i="10" s="1"/>
  <c r="CE57" i="10"/>
  <c r="CE54" i="10" s="1"/>
  <c r="CH57" i="10"/>
  <c r="CH54" i="10" s="1"/>
  <c r="CI57" i="10"/>
  <c r="CI54" i="10" s="1"/>
  <c r="CJ57" i="10"/>
  <c r="CJ54" i="10" s="1"/>
  <c r="CK57" i="10"/>
  <c r="CK54" i="10" s="1"/>
  <c r="CM57" i="10"/>
  <c r="CM54" i="10" s="1"/>
  <c r="CP57" i="10"/>
  <c r="CP54" i="10" s="1"/>
  <c r="CQ57" i="10"/>
  <c r="CQ54" i="10" s="1"/>
  <c r="CR57" i="10"/>
  <c r="CR54" i="10" s="1"/>
  <c r="CY57" i="10"/>
  <c r="CY54" i="10" s="1"/>
  <c r="CZ57" i="10"/>
  <c r="CZ54" i="10" s="1"/>
  <c r="DA57" i="10"/>
  <c r="DA54" i="10" s="1"/>
  <c r="DB57" i="10"/>
  <c r="DB54" i="10" s="1"/>
  <c r="BJ58" i="10"/>
  <c r="O48" i="3" s="1"/>
  <c r="O49" i="3"/>
  <c r="CG58" i="10"/>
  <c r="P48" i="3" s="1"/>
  <c r="P49" i="3"/>
  <c r="BJ59" i="10"/>
  <c r="CG59" i="10"/>
  <c r="BK61" i="10"/>
  <c r="BL61" i="10"/>
  <c r="BM61" i="10"/>
  <c r="BO61" i="10"/>
  <c r="BO60" i="10" s="1"/>
  <c r="BP61" i="10"/>
  <c r="BR61" i="10"/>
  <c r="BS61" i="10"/>
  <c r="BT61" i="10"/>
  <c r="BU61" i="10"/>
  <c r="BV61" i="10"/>
  <c r="BX61" i="10"/>
  <c r="CB61" i="10"/>
  <c r="CC61" i="10"/>
  <c r="CD61" i="10"/>
  <c r="CE61" i="10"/>
  <c r="CH61" i="10"/>
  <c r="CI61" i="10"/>
  <c r="CJ61" i="10"/>
  <c r="CM61" i="10"/>
  <c r="CP61" i="10"/>
  <c r="CQ61" i="10"/>
  <c r="CR61" i="10"/>
  <c r="CY61" i="10"/>
  <c r="CZ61" i="10"/>
  <c r="CZ60" i="10" s="1"/>
  <c r="DA61" i="10"/>
  <c r="DB61" i="10"/>
  <c r="BJ62" i="10"/>
  <c r="O56" i="3" s="1"/>
  <c r="CG62" i="10"/>
  <c r="P56" i="3" s="1"/>
  <c r="BJ63" i="10"/>
  <c r="O57" i="3" s="1"/>
  <c r="CG63" i="10"/>
  <c r="P57" i="3" s="1"/>
  <c r="BJ64" i="10"/>
  <c r="O58" i="3" s="1"/>
  <c r="BJ65" i="10"/>
  <c r="O59" i="3" s="1"/>
  <c r="CG65" i="10"/>
  <c r="P59" i="3" s="1"/>
  <c r="BK66" i="10"/>
  <c r="BK60" i="10" s="1"/>
  <c r="BM66" i="10"/>
  <c r="BN66" i="10"/>
  <c r="BP66" i="10"/>
  <c r="BP60" i="10" s="1"/>
  <c r="BR66" i="10"/>
  <c r="BS66" i="10"/>
  <c r="BS60" i="10" s="1"/>
  <c r="BT66" i="10"/>
  <c r="BU66" i="10"/>
  <c r="BU60" i="10" s="1"/>
  <c r="BV66" i="10"/>
  <c r="BX66" i="10"/>
  <c r="CB66" i="10"/>
  <c r="CC66" i="10"/>
  <c r="CC60" i="10" s="1"/>
  <c r="CD66" i="10"/>
  <c r="CE66" i="10"/>
  <c r="CH66" i="10"/>
  <c r="CJ66" i="10"/>
  <c r="CK66" i="10"/>
  <c r="CM66" i="10"/>
  <c r="CP66" i="10"/>
  <c r="CQ66" i="10"/>
  <c r="CR66" i="10"/>
  <c r="CY66" i="10"/>
  <c r="DA66" i="10"/>
  <c r="DA60" i="10" s="1"/>
  <c r="DB66" i="10"/>
  <c r="CG67" i="10"/>
  <c r="P61" i="3" s="1"/>
  <c r="CG68" i="10"/>
  <c r="P62" i="3" s="1"/>
  <c r="BJ69" i="10"/>
  <c r="O63" i="3" s="1"/>
  <c r="CG69" i="10"/>
  <c r="P63" i="3" s="1"/>
  <c r="BJ70" i="10"/>
  <c r="O64" i="3" s="1"/>
  <c r="CG70" i="10"/>
  <c r="P64" i="3" s="1"/>
  <c r="BJ71" i="10"/>
  <c r="BJ73" i="10"/>
  <c r="O67" i="3" s="1"/>
  <c r="CG73" i="10"/>
  <c r="P67" i="3" s="1"/>
  <c r="BJ74" i="10"/>
  <c r="CG74" i="10"/>
  <c r="BJ75" i="10"/>
  <c r="O69" i="3" s="1"/>
  <c r="BJ76" i="10"/>
  <c r="O70" i="3" s="1"/>
  <c r="CG76" i="10"/>
  <c r="P70" i="3" s="1"/>
  <c r="BJ77" i="10"/>
  <c r="CG77" i="10"/>
  <c r="BJ78" i="10"/>
  <c r="O71" i="3" s="1"/>
  <c r="CG78" i="10"/>
  <c r="P71" i="3" s="1"/>
  <c r="BJ79" i="10"/>
  <c r="CG79" i="10"/>
  <c r="BK80" i="10"/>
  <c r="BL80" i="10"/>
  <c r="BM80" i="10"/>
  <c r="BN80" i="10"/>
  <c r="BP80" i="10"/>
  <c r="BR80" i="10"/>
  <c r="BS80" i="10"/>
  <c r="BT80" i="10"/>
  <c r="BU80" i="10"/>
  <c r="BV80" i="10"/>
  <c r="BX80" i="10"/>
  <c r="CB80" i="10"/>
  <c r="CC80" i="10"/>
  <c r="CD80" i="10"/>
  <c r="CE80" i="10"/>
  <c r="CH80" i="10"/>
  <c r="CI80" i="10"/>
  <c r="CJ80" i="10"/>
  <c r="CK80" i="10"/>
  <c r="CM80" i="10"/>
  <c r="CP80" i="10"/>
  <c r="CQ80" i="10"/>
  <c r="CR80" i="10"/>
  <c r="CY80" i="10"/>
  <c r="CZ80" i="10"/>
  <c r="DA80" i="10"/>
  <c r="DB80" i="10"/>
  <c r="CG81" i="10"/>
  <c r="BJ82" i="10"/>
  <c r="BJ80" i="10" s="1"/>
  <c r="CG82" i="10"/>
  <c r="BK83" i="10"/>
  <c r="BL83" i="10"/>
  <c r="BM83" i="10"/>
  <c r="BN83" i="10"/>
  <c r="BP83" i="10"/>
  <c r="BR83" i="10"/>
  <c r="BS83" i="10"/>
  <c r="BT83" i="10"/>
  <c r="BU83" i="10"/>
  <c r="BV83" i="10"/>
  <c r="BX83" i="10"/>
  <c r="CB83" i="10"/>
  <c r="CC83" i="10"/>
  <c r="CD83" i="10"/>
  <c r="CE83" i="10"/>
  <c r="CH83" i="10"/>
  <c r="CI83" i="10"/>
  <c r="CJ83" i="10"/>
  <c r="CK83" i="10"/>
  <c r="CM83" i="10"/>
  <c r="CP83" i="10"/>
  <c r="CQ83" i="10"/>
  <c r="CR83" i="10"/>
  <c r="CY83" i="10"/>
  <c r="CZ83" i="10"/>
  <c r="DA83" i="10"/>
  <c r="DB83" i="10"/>
  <c r="BJ84" i="10"/>
  <c r="BJ83" i="10" s="1"/>
  <c r="CG84" i="10"/>
  <c r="BJ85" i="10"/>
  <c r="CG85" i="10"/>
  <c r="P10" i="3"/>
  <c r="O46" i="3"/>
  <c r="Q49" i="3"/>
  <c r="Q59" i="3"/>
  <c r="O68" i="3"/>
  <c r="Q71" i="3"/>
  <c r="O77" i="3"/>
  <c r="O76" i="3" s="1"/>
  <c r="Q77" i="3"/>
  <c r="Q76" i="3" s="1"/>
  <c r="X33" i="14"/>
  <c r="R9" i="15"/>
  <c r="BB17" i="12"/>
  <c r="BA8" i="12"/>
  <c r="BO28" i="11"/>
  <c r="BO8" i="11" s="1"/>
  <c r="BL66" i="10"/>
  <c r="BJ42" i="10"/>
  <c r="BJ21" i="10"/>
  <c r="BR9" i="10"/>
  <c r="CI66" i="10"/>
  <c r="CI60" i="10" s="1"/>
  <c r="BJ43" i="10"/>
  <c r="CG71" i="10"/>
  <c r="BJ67" i="10"/>
  <c r="O61" i="3" s="1"/>
  <c r="CX60" i="10"/>
  <c r="BN9" i="10"/>
  <c r="N9" i="15"/>
  <c r="P9" i="15"/>
  <c r="AM9" i="12"/>
  <c r="AM8" i="12" s="1"/>
  <c r="AL20" i="11"/>
  <c r="AL39" i="11"/>
  <c r="AW40" i="11"/>
  <c r="Z40" i="11" s="1"/>
  <c r="BH19" i="11"/>
  <c r="AL40" i="11"/>
  <c r="N40" i="11" s="1"/>
  <c r="AW23" i="11"/>
  <c r="BH40" i="11"/>
  <c r="BH23" i="11"/>
  <c r="BK8" i="12"/>
  <c r="BD8" i="12"/>
  <c r="BB29" i="12"/>
  <c r="BF8" i="12"/>
  <c r="BP28" i="11"/>
  <c r="Q27" i="3"/>
  <c r="CQ60" i="10"/>
  <c r="CO60" i="10"/>
  <c r="DG60" i="10"/>
  <c r="DS60" i="10"/>
  <c r="CS60" i="10"/>
  <c r="DR60" i="10"/>
  <c r="AZ8" i="12"/>
  <c r="AW30" i="11"/>
  <c r="DD60" i="10"/>
  <c r="DX60" i="10"/>
  <c r="Q9" i="3"/>
  <c r="CV60" i="10"/>
  <c r="CT60" i="10"/>
  <c r="CU60" i="10"/>
  <c r="AC8" i="14"/>
  <c r="AB47" i="14" s="1"/>
  <c r="U8" i="14"/>
  <c r="DD54" i="10"/>
  <c r="DW60" i="10"/>
  <c r="DE41" i="10"/>
  <c r="CO9" i="10"/>
  <c r="DI9" i="10"/>
  <c r="DL9" i="10"/>
  <c r="BJ14" i="10"/>
  <c r="O13" i="3" s="1"/>
  <c r="AH22" i="12"/>
  <c r="AP8" i="12"/>
  <c r="AB9" i="14"/>
  <c r="O19" i="3"/>
  <c r="W9" i="13"/>
  <c r="Q43" i="3"/>
  <c r="U8" i="13"/>
  <c r="T8" i="13" s="1"/>
  <c r="T26" i="13" s="1"/>
  <c r="Y9" i="13"/>
  <c r="S9" i="12"/>
  <c r="T17" i="12"/>
  <c r="P8" i="12"/>
  <c r="Q27" i="12"/>
  <c r="BB22" i="12"/>
  <c r="AW39" i="11"/>
  <c r="BB8" i="11"/>
  <c r="BI8" i="11"/>
  <c r="BJ8" i="11"/>
  <c r="Q42" i="3"/>
  <c r="Q61" i="3"/>
  <c r="BR41" i="10"/>
  <c r="AL14" i="11"/>
  <c r="T8" i="14" l="1"/>
  <c r="BH8" i="12"/>
  <c r="AR27" i="12"/>
  <c r="AY8" i="12"/>
  <c r="AR29" i="12"/>
  <c r="P65" i="3"/>
  <c r="AR17" i="12"/>
  <c r="AX8" i="12"/>
  <c r="P27" i="3"/>
  <c r="P25" i="3"/>
  <c r="AO8" i="12"/>
  <c r="BH37" i="11"/>
  <c r="P42" i="3"/>
  <c r="AZ8" i="11"/>
  <c r="P18" i="3"/>
  <c r="AR28" i="11"/>
  <c r="AL30" i="11"/>
  <c r="O22" i="3"/>
  <c r="CY60" i="10"/>
  <c r="DQ60" i="10"/>
  <c r="M55" i="3"/>
  <c r="DO60" i="10"/>
  <c r="N14" i="14"/>
  <c r="M27" i="3"/>
  <c r="N19" i="11"/>
  <c r="AF8" i="10"/>
  <c r="N9" i="12"/>
  <c r="DB60" i="10"/>
  <c r="BR60" i="10"/>
  <c r="P24" i="3"/>
  <c r="DL60" i="10"/>
  <c r="DP60" i="10"/>
  <c r="DP8" i="10" s="1"/>
  <c r="DC80" i="10"/>
  <c r="Q25" i="3"/>
  <c r="Y8" i="14"/>
  <c r="X9" i="14"/>
  <c r="O47" i="3"/>
  <c r="O16" i="3"/>
  <c r="M47" i="3"/>
  <c r="N8" i="14"/>
  <c r="N47" i="14" s="1"/>
  <c r="P43" i="3"/>
  <c r="BI8" i="12"/>
  <c r="BB8" i="12" s="1"/>
  <c r="BB27" i="12"/>
  <c r="BB9" i="12"/>
  <c r="P41" i="3"/>
  <c r="AR9" i="12"/>
  <c r="AV8" i="12"/>
  <c r="AR8" i="12" s="1"/>
  <c r="AH17" i="12"/>
  <c r="AQ8" i="12"/>
  <c r="AH29" i="12"/>
  <c r="N27" i="12"/>
  <c r="V8" i="12"/>
  <c r="Q8" i="12"/>
  <c r="U8" i="12"/>
  <c r="BP8" i="11"/>
  <c r="BH30" i="11"/>
  <c r="BG8" i="11"/>
  <c r="BN8" i="11"/>
  <c r="BE8" i="11"/>
  <c r="AW9" i="11"/>
  <c r="P68" i="3"/>
  <c r="BA8" i="11"/>
  <c r="P19" i="3"/>
  <c r="AL23" i="11"/>
  <c r="AL37" i="11"/>
  <c r="Y8" i="11"/>
  <c r="BM8" i="11"/>
  <c r="AW28" i="11"/>
  <c r="BC8" i="11"/>
  <c r="O65" i="3"/>
  <c r="O20" i="3"/>
  <c r="AN8" i="11"/>
  <c r="P73" i="3"/>
  <c r="O62" i="3"/>
  <c r="AU8" i="11"/>
  <c r="Q62" i="3"/>
  <c r="BH28" i="11"/>
  <c r="Z8" i="11"/>
  <c r="Q47" i="3"/>
  <c r="Q65" i="3"/>
  <c r="N30" i="11"/>
  <c r="AV8" i="11"/>
  <c r="BQ8" i="11"/>
  <c r="BR8" i="11"/>
  <c r="N23" i="11"/>
  <c r="M62" i="3"/>
  <c r="M42" i="3"/>
  <c r="T8" i="11"/>
  <c r="X8" i="11"/>
  <c r="DF60" i="10"/>
  <c r="DF8" i="10" s="1"/>
  <c r="DJ60" i="10"/>
  <c r="DJ8" i="10" s="1"/>
  <c r="DN60" i="10"/>
  <c r="X60" i="10"/>
  <c r="AB60" i="10"/>
  <c r="AB8" i="10" s="1"/>
  <c r="CG57" i="10"/>
  <c r="CK60" i="10"/>
  <c r="CW60" i="10"/>
  <c r="BT60" i="10"/>
  <c r="BT8" i="10" s="1"/>
  <c r="AI60" i="10"/>
  <c r="AI8" i="10" s="1"/>
  <c r="AH60" i="10"/>
  <c r="AH8" i="10" s="1"/>
  <c r="BN60" i="10"/>
  <c r="BN8" i="10" s="1"/>
  <c r="AG60" i="10"/>
  <c r="AG8" i="10" s="1"/>
  <c r="CP60" i="10"/>
  <c r="CP8" i="10" s="1"/>
  <c r="CO8" i="10"/>
  <c r="CS8" i="10"/>
  <c r="DC83" i="10"/>
  <c r="R60" i="10"/>
  <c r="V60" i="10"/>
  <c r="V8" i="10" s="1"/>
  <c r="AD60" i="10"/>
  <c r="AD8" i="10" s="1"/>
  <c r="BV60" i="10"/>
  <c r="BV8" i="10" s="1"/>
  <c r="CL60" i="10"/>
  <c r="CL8" i="10" s="1"/>
  <c r="BQ60" i="10"/>
  <c r="BW60" i="10"/>
  <c r="DQ8" i="10"/>
  <c r="N54" i="3"/>
  <c r="N7" i="3" s="1"/>
  <c r="DC9" i="10"/>
  <c r="DS8" i="10"/>
  <c r="BZ60" i="10"/>
  <c r="M75" i="3"/>
  <c r="BJ57" i="10"/>
  <c r="DC57" i="10"/>
  <c r="DE66" i="10"/>
  <c r="DE60" i="10" s="1"/>
  <c r="DE8" i="10" s="1"/>
  <c r="CG80" i="10"/>
  <c r="DL8" i="10"/>
  <c r="DV8" i="10"/>
  <c r="O37" i="3"/>
  <c r="S60" i="10"/>
  <c r="S8" i="10" s="1"/>
  <c r="AA60" i="10"/>
  <c r="AA8" i="10" s="1"/>
  <c r="AE60" i="10"/>
  <c r="AE8" i="10" s="1"/>
  <c r="CG14" i="10"/>
  <c r="P13" i="3" s="1"/>
  <c r="DC45" i="10"/>
  <c r="CT8" i="10"/>
  <c r="DX8" i="10"/>
  <c r="DA8" i="10"/>
  <c r="O21" i="3"/>
  <c r="CW8" i="10"/>
  <c r="DW8" i="10"/>
  <c r="DI60" i="10"/>
  <c r="DI8" i="10" s="1"/>
  <c r="O41" i="10"/>
  <c r="O8" i="10" s="1"/>
  <c r="Y60" i="10"/>
  <c r="Y8" i="10" s="1"/>
  <c r="AJ60" i="10"/>
  <c r="AJ8" i="10" s="1"/>
  <c r="X8" i="10"/>
  <c r="O41" i="3"/>
  <c r="T9" i="14"/>
  <c r="O43" i="3"/>
  <c r="AN8" i="12"/>
  <c r="O42" i="3"/>
  <c r="O25" i="3"/>
  <c r="AL28" i="11"/>
  <c r="AR8" i="11"/>
  <c r="AP8" i="11"/>
  <c r="AO8" i="11"/>
  <c r="CG9" i="10"/>
  <c r="BJ66" i="10"/>
  <c r="T47" i="14"/>
  <c r="AT8" i="11"/>
  <c r="CV8" i="10"/>
  <c r="BJ9" i="10"/>
  <c r="DO8" i="10"/>
  <c r="BR8" i="10"/>
  <c r="BZ8" i="10"/>
  <c r="BO8" i="10"/>
  <c r="BS8" i="10"/>
  <c r="CC8" i="10"/>
  <c r="BK8" i="10"/>
  <c r="CM60" i="10"/>
  <c r="CM8" i="10" s="1"/>
  <c r="CE60" i="10"/>
  <c r="CE8" i="10" s="1"/>
  <c r="BX60" i="10"/>
  <c r="BX8" i="10" s="1"/>
  <c r="BM60" i="10"/>
  <c r="BM8" i="10" s="1"/>
  <c r="BY60" i="10"/>
  <c r="BY8" i="10" s="1"/>
  <c r="DH60" i="10"/>
  <c r="DH8" i="10" s="1"/>
  <c r="DK60" i="10"/>
  <c r="DK8" i="10" s="1"/>
  <c r="DM60" i="10"/>
  <c r="DM8" i="10" s="1"/>
  <c r="DU60" i="10"/>
  <c r="DU8" i="10" s="1"/>
  <c r="DG8" i="10"/>
  <c r="CU8" i="10"/>
  <c r="DB8" i="10"/>
  <c r="CX8" i="10"/>
  <c r="CG83" i="10"/>
  <c r="CG66" i="10"/>
  <c r="CB60" i="10"/>
  <c r="CR60" i="10"/>
  <c r="CR8" i="10" s="1"/>
  <c r="CG61" i="10"/>
  <c r="CD60" i="10"/>
  <c r="CD8" i="10" s="1"/>
  <c r="CZ8" i="10"/>
  <c r="CI8" i="10"/>
  <c r="Q22" i="3"/>
  <c r="M43" i="3"/>
  <c r="DD8" i="10"/>
  <c r="BJ54" i="10"/>
  <c r="CN60" i="10"/>
  <c r="CN8" i="10" s="1"/>
  <c r="M65" i="3"/>
  <c r="N80" i="10"/>
  <c r="BU8" i="10"/>
  <c r="M41" i="3"/>
  <c r="BH9" i="11"/>
  <c r="BD8" i="11"/>
  <c r="AW19" i="11"/>
  <c r="AL9" i="11"/>
  <c r="AS8" i="11"/>
  <c r="CB8" i="10"/>
  <c r="BJ41" i="10"/>
  <c r="BJ45" i="10"/>
  <c r="BJ61" i="10"/>
  <c r="N9" i="14"/>
  <c r="N9" i="13"/>
  <c r="N17" i="12"/>
  <c r="T8" i="12"/>
  <c r="W8" i="11"/>
  <c r="U8" i="11"/>
  <c r="R8" i="11"/>
  <c r="N9" i="11"/>
  <c r="N57" i="10"/>
  <c r="N54" i="10" s="1"/>
  <c r="N66" i="10"/>
  <c r="T8" i="10"/>
  <c r="N45" i="10"/>
  <c r="M44" i="3" s="1"/>
  <c r="W8" i="12"/>
  <c r="N22" i="12"/>
  <c r="Q60" i="10"/>
  <c r="Q8" i="10" s="1"/>
  <c r="W60" i="10"/>
  <c r="Z60" i="10"/>
  <c r="Z8" i="10" s="1"/>
  <c r="U60" i="10"/>
  <c r="U8" i="10" s="1"/>
  <c r="AC60" i="10"/>
  <c r="AC8" i="10" s="1"/>
  <c r="Q55" i="3"/>
  <c r="P55" i="3"/>
  <c r="O55" i="3"/>
  <c r="P37" i="3"/>
  <c r="P22" i="3"/>
  <c r="DC41" i="10"/>
  <c r="CK8" i="10"/>
  <c r="CQ8" i="10"/>
  <c r="CY8" i="10"/>
  <c r="CG41" i="10"/>
  <c r="CG54" i="10"/>
  <c r="S8" i="12"/>
  <c r="BL60" i="10"/>
  <c r="BL8" i="10" s="1"/>
  <c r="CJ60" i="10"/>
  <c r="CJ8" i="10" s="1"/>
  <c r="AH9" i="12"/>
  <c r="DC54" i="10"/>
  <c r="CH60" i="10"/>
  <c r="CG45" i="10"/>
  <c r="N28" i="11"/>
  <c r="BK8" i="11"/>
  <c r="BQ8" i="10"/>
  <c r="BW8" i="10"/>
  <c r="DN8" i="10"/>
  <c r="R8" i="10"/>
  <c r="BP8" i="10"/>
  <c r="AQ8" i="11"/>
  <c r="DR8" i="10"/>
  <c r="W9" i="10"/>
  <c r="M25" i="3"/>
  <c r="Q37" i="3"/>
  <c r="P66" i="10"/>
  <c r="P60" i="10" s="1"/>
  <c r="P8" i="10" s="1"/>
  <c r="Q8" i="11"/>
  <c r="R8" i="12"/>
  <c r="O8" i="13"/>
  <c r="N8" i="13" s="1"/>
  <c r="N26" i="13" s="1"/>
  <c r="CA60" i="10"/>
  <c r="CA8" i="10" s="1"/>
  <c r="Q18" i="3"/>
  <c r="M13" i="3"/>
  <c r="N61" i="10"/>
  <c r="V30" i="11"/>
  <c r="V28" i="11" s="1"/>
  <c r="V8" i="11" s="1"/>
  <c r="N38" i="11"/>
  <c r="S37" i="11"/>
  <c r="S8" i="11" s="1"/>
  <c r="P60" i="3" l="1"/>
  <c r="X8" i="14"/>
  <c r="X47" i="14" s="1"/>
  <c r="AH8" i="12"/>
  <c r="Q60" i="3"/>
  <c r="Q54" i="3" s="1"/>
  <c r="W8" i="10"/>
  <c r="M60" i="3"/>
  <c r="M54" i="3" s="1"/>
  <c r="P40" i="3"/>
  <c r="BH8" i="11"/>
  <c r="Q73" i="3"/>
  <c r="AW8" i="11"/>
  <c r="O60" i="3"/>
  <c r="O54" i="3" s="1"/>
  <c r="O73" i="3"/>
  <c r="Q40" i="3"/>
  <c r="DC66" i="10"/>
  <c r="CG60" i="10"/>
  <c r="DC60" i="10"/>
  <c r="O8" i="3"/>
  <c r="M40" i="3"/>
  <c r="O40" i="3"/>
  <c r="AL8" i="11"/>
  <c r="BJ8" i="10"/>
  <c r="P8" i="3"/>
  <c r="DC8" i="10"/>
  <c r="M8" i="3"/>
  <c r="N8" i="12"/>
  <c r="N37" i="11"/>
  <c r="N8" i="11" s="1"/>
  <c r="M74" i="3"/>
  <c r="M73" i="3" s="1"/>
  <c r="N60" i="10"/>
  <c r="N41" i="10"/>
  <c r="P54" i="3"/>
  <c r="Q8" i="3"/>
  <c r="CH8" i="10"/>
  <c r="CG8" i="10" s="1"/>
  <c r="BJ60" i="10"/>
  <c r="Q7" i="3" l="1"/>
  <c r="O7" i="3"/>
  <c r="P7" i="3"/>
  <c r="M7" i="3"/>
  <c r="N8" i="10"/>
</calcChain>
</file>

<file path=xl/sharedStrings.xml><?xml version="1.0" encoding="utf-8"?>
<sst xmlns="http://schemas.openxmlformats.org/spreadsheetml/2006/main" count="2985" uniqueCount="796">
  <si>
    <t>Итого расходных обязательств муниципальных образований</t>
  </si>
  <si>
    <t>Объем средств на исполнение расходного обязательства</t>
  </si>
  <si>
    <t>Код расхода по БК</t>
  </si>
  <si>
    <t>раздел</t>
  </si>
  <si>
    <t>подраздел</t>
  </si>
  <si>
    <t>субъекта Российской Федерации</t>
  </si>
  <si>
    <t>номер статьи (подстатьи), пункта (подпункта)</t>
  </si>
  <si>
    <t>дата вступления в силу, срок действия</t>
  </si>
  <si>
    <t>Российской Федерации</t>
  </si>
  <si>
    <t>Код стро-ки</t>
  </si>
  <si>
    <t>х</t>
  </si>
  <si>
    <t>1001</t>
  </si>
  <si>
    <t>Правовое основание финансового обеспечения и расходования
средств (нормативные правовые акты, договоры, соглашения)</t>
  </si>
  <si>
    <t>Наименование расходного обязательства, вопроса местного значения, полномочия, права муниципального образования</t>
  </si>
  <si>
    <t>наимено-вание, номер и дата</t>
  </si>
  <si>
    <t>создание условий для оказания медицинской помощи населению на территории муниципального района (за исключением территорий поселений,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</si>
  <si>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осуществление полномочий по регулированию тарифов на перевозки пассажиров и багажа автомобильным и городским электрическим транспортом на поселенческих, районных и межмуниципальных маршрутах городского, пригородного и междугородного сообщений</t>
  </si>
  <si>
    <t>мероприятия по организации оздоровления и отдыха детей</t>
  </si>
  <si>
    <t>0102</t>
  </si>
  <si>
    <t>0103</t>
  </si>
  <si>
    <t>01</t>
  </si>
  <si>
    <t>02</t>
  </si>
  <si>
    <t>03</t>
  </si>
  <si>
    <t>0104</t>
  </si>
  <si>
    <t>04</t>
  </si>
  <si>
    <t>0106</t>
  </si>
  <si>
    <t>06</t>
  </si>
  <si>
    <t>07</t>
  </si>
  <si>
    <t>0113</t>
  </si>
  <si>
    <t>13</t>
  </si>
  <si>
    <t>ЕУЦ</t>
  </si>
  <si>
    <t>ЕСЦ</t>
  </si>
  <si>
    <t>0309</t>
  </si>
  <si>
    <t>09</t>
  </si>
  <si>
    <t>0314</t>
  </si>
  <si>
    <t>14</t>
  </si>
  <si>
    <t>0405</t>
  </si>
  <si>
    <t>05</t>
  </si>
  <si>
    <t>0408</t>
  </si>
  <si>
    <t>08</t>
  </si>
  <si>
    <t>0409</t>
  </si>
  <si>
    <t>0412</t>
  </si>
  <si>
    <t>0502</t>
  </si>
  <si>
    <t>0605</t>
  </si>
  <si>
    <t>0701</t>
  </si>
  <si>
    <t>0702</t>
  </si>
  <si>
    <t>0707</t>
  </si>
  <si>
    <t>0709</t>
  </si>
  <si>
    <t>0801</t>
  </si>
  <si>
    <t>0804</t>
  </si>
  <si>
    <t>10</t>
  </si>
  <si>
    <t>1003</t>
  </si>
  <si>
    <t>1004</t>
  </si>
  <si>
    <t>1101</t>
  </si>
  <si>
    <t>1202</t>
  </si>
  <si>
    <t>0111</t>
  </si>
  <si>
    <t>Федеральный закон 131-ФЗ от 06.10.2003 "Об общих принципах организации местного самоуправления  в РФ"</t>
  </si>
  <si>
    <t>п. 1 ч. 1 ст. 15</t>
  </si>
  <si>
    <t>п. 3 ч. 1 ст. 15</t>
  </si>
  <si>
    <t>п. 6 ч. 1 ст. 15</t>
  </si>
  <si>
    <t>1) Федеральный закон 131-ФЗ от 06.10.2003 "Об общих принципах организации местного самоуправления  в РФ"; 2) Федеральный закон 257 -ФЗ от 08.11.2007 "Об автомобильных дорогах и о дорожной деятельности в РФ и о внесении изменений в отдельные законодательные акты РФ"</t>
  </si>
  <si>
    <t>1) п. 5 ч. 1 ст. 15; 2) ст. 13</t>
  </si>
  <si>
    <t>Закон ПК от 01.12.2011 № 871-ПК "О бесплатном предоставлении земельных участков в Пермском крае"</t>
  </si>
  <si>
    <t>в целом</t>
  </si>
  <si>
    <t>10.12.2011 не установлена</t>
  </si>
  <si>
    <t>Закон Пермского края от 12.10.2006 № 19-КЗ "Об основах организации транспортного обслуживания населения на территории Пермского края"</t>
  </si>
  <si>
    <t>01.01.2007-не установлен</t>
  </si>
  <si>
    <t>1) Федеральный закон 131-ФЗ от 06.10.2003 "Об общих принципах организации местного самоуправления  в РФ"; 2) ФЗ от  06.03.2006  № 35-ФЗ "О противодействии терроризму"; 3) ФЗ от 25.07.2002 № 114-ФЗ "О противодействии экстремистской деятельности"</t>
  </si>
  <si>
    <t>1) п. 6.1 ч. 1 ст. 15; 2) п. 2 ст. 5.1; 3) ст. 5</t>
  </si>
  <si>
    <t xml:space="preserve">1) п. 7 ч. 1 ст. 15;                                                                                                                                                                     2) ст. 11;                </t>
  </si>
  <si>
    <t xml:space="preserve">1) Федеральный закон 131-ФЗ от 06.10.2003 "Об общих принципах организации местного самоуправления  в РФ";                                                                                                    2) Федеральный закон от 21.12.1994 № 68-ФЗ "О защите населения и территорий от чрезвычайных ситуаций природного и техногенного характера";                                             </t>
  </si>
  <si>
    <t xml:space="preserve">1) Федеральный закон 131-ФЗ от 06.10.2003 "Об общих принципах организации местного самоуправления  в РФ";                                                                                                    2) Фдеральный закон от 10.01.2002 № 7-ФЗ "Об охране окружающей среды"                                           </t>
  </si>
  <si>
    <t xml:space="preserve">1) п. 9 ч. 1 ст. 15;                                                                                                                                                                     2) ст. 7;                </t>
  </si>
  <si>
    <t>1) Закон Пермского края от 03.09.2009 № 483-ПК "Об охране окружающей среды"</t>
  </si>
  <si>
    <t>1) ст. 12</t>
  </si>
  <si>
    <t xml:space="preserve">1) Федеральный закон 131-ФЗ от 06.10.2003 "Об общих принципах организации местного самоуправления  в РФ";                                                                                                    2) Федеральный закон от 29.12.2012 №273-ФЗ "Об образовании в Российской Федерации"                                    </t>
  </si>
  <si>
    <t xml:space="preserve">1) п. 11 ч. 1 ст. 15;                                                                                                                                                                     2) ст. 9;                </t>
  </si>
  <si>
    <t xml:space="preserve">1) Закон Пермского края от 12.03.2014 № 308-ПК "Об образовании в Пермском крае" </t>
  </si>
  <si>
    <t>1) ст. 5</t>
  </si>
  <si>
    <t>1) 28.03.2014 - не установлена</t>
  </si>
  <si>
    <t xml:space="preserve">1) п. 12 ч. 1 ст. 15;                                                                                                                                                                     2) ст. 17;                </t>
  </si>
  <si>
    <t xml:space="preserve">1) Федеральный закон 131-ФЗ от 06.10.2003 "Об общих принципах организации местного самоуправления  в РФ";                                                                                                    2) Федеральный закон от 21.11.2011 №323-ФЗ "Об основах охраны здоровья граждан  в Российской Федерации"                                  </t>
  </si>
  <si>
    <t>1) Федеральный закон 131-ФЗ от 06.10.2003 "Об общих принципах организации местного самоуправления  в РФ";                                                                                                    2) Федеральный закон от 24.06.1998 №89-ФЗ "Об отходах производства и потребления";                                                     3) Фдеральный закон от 10.01.2002 № 7-ФЗ "Об охране окружающей среды"</t>
  </si>
  <si>
    <t>1) п. 14 ч. 1 ст. 15;                                                                                                                                                                     2) п. 2 ст. 8 гл. 2;                3) ст. 7</t>
  </si>
  <si>
    <t xml:space="preserve">1) 1) Федеральный закон 131-ФЗ от 06.10.2003 "Об общих принципах организации местного самоуправления  в РФ";                                     2) Федеральный закон от 22.10.2004 №125-ФЗ "Об архивном деле в Российской Федерации" </t>
  </si>
  <si>
    <t>Закон Пермского края от 06.03.2007 № 11-ПК "Об архивном деле в Пермском крае"</t>
  </si>
  <si>
    <t>24.03.2007 не установлена</t>
  </si>
  <si>
    <t>1) п. 16 ч. 1 ст. 15;                         2) п. 3, 4 ст. 4 гл. 1; ст. 8</t>
  </si>
  <si>
    <t>ст. 7</t>
  </si>
  <si>
    <t>1) Федеральный закон 131-ФЗ от 06.10.2003 "Об общих принципах организации местного самоуправления  в РФ";                                     2) Федеральный закон от 29.12.1994 № 78-ФЗ "О библиотечном деле"</t>
  </si>
  <si>
    <t>1) п. 19 ч. 1 ст. 15;                         2) ч. 2 ст. 15</t>
  </si>
  <si>
    <t xml:space="preserve">1) Закон Пермского края от 05.03.2008 №205-ПК "О библиотечном деле в Пермском крае" </t>
  </si>
  <si>
    <t>1) ст. 11</t>
  </si>
  <si>
    <t>1) Федеральный закон 131-ФЗ от 06.10.2003 "Об общих принципах организации местного самоуправления  в РФ";                                     2) Закон РФ от 09.10.1992 № 3612-1 "Основы законодательства РФ о культуре"</t>
  </si>
  <si>
    <t>1) п. 19.1 ч. 1 ст. 15;                         2) ст. 40</t>
  </si>
  <si>
    <t xml:space="preserve">1) Закон Пермской области от 07.04.1999 № 458-66 "О государственной политике в сфере культуры, искусства и кинематографии" </t>
  </si>
  <si>
    <t>1) Федеральный закон 131-ФЗ от 06.10.2003 "Об общих принципах организации местного самоуправления  в РФ";                                     2) Федеральный закон от 12.02.1998 № 28-ФЗ "О гражданской обороне"                                         3) Федеральный закон от 21.12.1994 № 68-ФЗ "О защите населения и территорий от чрезвычайных ситуаций природного и техногенного характера";</t>
  </si>
  <si>
    <t>1) п. 21 ч. 1 ст. 15;                         2) ч. 2 ст. 8;                                      3) ст. 11</t>
  </si>
  <si>
    <t>Постановление Правительства ПК от 23.11.2011 № 940-п "О системе подготовки населения в области гражданской обороны, защиты населения и территорий от ЧС природного и техногенного характера на территории ПК"</t>
  </si>
  <si>
    <t>09.12.2011 не установлена</t>
  </si>
  <si>
    <t>п. 6.2 ст. 6</t>
  </si>
  <si>
    <t>1) Федеральный закон 131-ФЗ от 06.10.2003 "Об общих принципах организации местного самоуправления  в РФ";                                     2) Федеральный закон от 29.12.2006 № 264-ФЗ "О развитии сельского хозяйства" ; 3) Федеральный закон от 24.07.2007 № 209-ФЗ "О развитии малого и среднего предпринимательства в РФ"</t>
  </si>
  <si>
    <t>1) п. 25 ч. 1 ст. 15;                         2) в целом;                          3) ст. 11</t>
  </si>
  <si>
    <t xml:space="preserve">1) Постановление Правительства Пермского края от 03.10.2013 №1320-п "Об утверждении государственной программы "Развитие сельского хозяйства и устойчивое развитие сельских территорий в Пермском крае";                                         2) Закон Пермского края от 26.02.2009 №392-ПК "О развитии малого и среднего предпринимательства в Пермском крае" </t>
  </si>
  <si>
    <t>1) в целом;                          2) в целом</t>
  </si>
  <si>
    <t xml:space="preserve">1) Федеральный закон 131-ФЗ от 06.10.2003 "Об общих принципах организации местного самоуправления  в РФ";                                     2) Федеральный закон от 04.12.2007 № 329-ФЗ "О физической культуре и спорте в Российской Федерации" </t>
  </si>
  <si>
    <t>1) п. 26 ч. 1 ст. 15;                         2) ст. 9</t>
  </si>
  <si>
    <t>1) Закон Пермской области от 20.07.1995 № 288-50 "О физической культуре и спорте";                                        2) Постановление Правительства Пермского края от 03.10.2013 №1324-п "Об утверждении государственной программы "Развитие физической культуры и спорта"</t>
  </si>
  <si>
    <t>1) 16.08.1995 не установлена;                         2) 01.01.2014-31.12.2018</t>
  </si>
  <si>
    <t xml:space="preserve">1) Федеральный закон 131-ФЗ от 06.10.2003 "Об общих принципах организации местного самоуправления  в РФ";                                     </t>
  </si>
  <si>
    <t xml:space="preserve">1) п. 27 ч. 1 ст. 15;   </t>
  </si>
  <si>
    <t xml:space="preserve">1) Федеральный закон 131-ФЗ от 06.10.2003 "Об общих принципах организации местного самоуправления  в РФ";  2) Федеральный закон от 27.12.1991 № 2124-1 "О средствах массовой информации"                                   </t>
  </si>
  <si>
    <t>1) п. 7  ч. 1 ст. 17;                       2) ст. 7</t>
  </si>
  <si>
    <t xml:space="preserve">1) Федеральный закон 131-ФЗ от 06.10.2003 "Об общих принципах организации местного самоуправления  в РФ";  </t>
  </si>
  <si>
    <t xml:space="preserve">1) п. 8.1  ч. 1 ст. 17;  </t>
  </si>
  <si>
    <t xml:space="preserve">1) 08.10.2003 не установлена;   </t>
  </si>
  <si>
    <t xml:space="preserve">1) абз. 1 ч. 5 ст. 19;   </t>
  </si>
  <si>
    <t xml:space="preserve">Закон Пермского края от 12.03.2007 г. № 18-ПК «О наделении органов местного самоуправления Пермского края полномочиями на государственную регистрацию актов гражданского состояния» </t>
  </si>
  <si>
    <t>12.03.2007 не установлена</t>
  </si>
  <si>
    <t xml:space="preserve">1) Федеральный закон 131-ФЗ от 06.10.2003 "Об общих принципах организации местного самоуправления  в РФ";                                    2) Федеральный закон от 29.12.2006 №264-ФЗ "О развитии сельского хозяйства" </t>
  </si>
  <si>
    <t>ст.7</t>
  </si>
  <si>
    <t>03.11.2006 - не ограничен</t>
  </si>
  <si>
    <t xml:space="preserve">1) Федеральный закон 131-ФЗ от 06.10.2003 "Об общих принципах организации местного самоуправления  в РФ";    </t>
  </si>
  <si>
    <t>1) Закон Пермской области от 30.11.2004 N 1845-395 «О социальной поддержке отдельных категорий граждан, работающих и проживающих в сельской местности и поселках городского типа (рабочих поселках), по оплате жилого помещения и коммунальных услуг»;                                       2) Закон Пермского края от 14.11.2005 г. № 2621-580 «О наделении органов местного самоуправления отдельными государственными полномочиями Пермской области по социальной поддержке, социальной помощи и социальному обслуживанию отдельных категорий граждан»</t>
  </si>
  <si>
    <t>1) ст.1;              2) в целом</t>
  </si>
  <si>
    <t>1) 01.01.2005 - 31.12.2015;                       2) 01.01.2008 - не установлена</t>
  </si>
  <si>
    <t>1) Постановление Правительства Пермского края от 02.03.2007 № 21-п «Об утверждении Порядка предоставления мер социальной поддержки  по  обеспечению  жильем  ветеранов, инвалидов и семей, имеющих детей-инвалидов, нуждающихся в улучшении жилищных условий и вставших на учет до 01 января 2005 года»</t>
  </si>
  <si>
    <t>1) в целом</t>
  </si>
  <si>
    <t>1) 23.03.2007 - не установлена</t>
  </si>
  <si>
    <t>1) Федеральный закон 131-ФЗ от 06.10.2003 "Об общих принципах организации местного самоуправления  в РФ";                                  2) Указ Президента РФ от 07.05.2008 № 714 «Об обеспечении жильем ветеранов ВОВ 1941-1945 годов»;                                           3) Федеральный закон от 12.01.1995 № 5-ФЗ «О ветеранах»</t>
  </si>
  <si>
    <t>1) абз. 1 ч. 5 ст. 19;                     2) в целом;                     3) ст.23</t>
  </si>
  <si>
    <t>1) 08.10.2003 не установлена;                         2) 01.01.2010 - не установлена;                        3) 16.01.1995 - не установлена</t>
  </si>
  <si>
    <t xml:space="preserve">1) Федеральный закон 131-ФЗ от 06.10.2003 "Об общих принципах организации местного самоуправления  в РФ";                       2) Федеральный  закон  от 24.06.1999 №120-ФЗ «Об основах системы профилактики безнадзорности и правонарушений несовершеннолетних»; </t>
  </si>
  <si>
    <t>1) абз. 1 ч. 5 ст. 19;                   2) ст. 11</t>
  </si>
  <si>
    <t>1) 08.10.2003 не установлена;                           2) 30.06.1999 - не установлена</t>
  </si>
  <si>
    <t>1) Закон  Пермской  области от 05.09.2005 N2441-539 «О комиссиях по делам несовершеннолетних и защите их прав»;                                          2) Закон Пермского края от 19.12.2006 г. № 44-КЗ «О наделении органов местного самоуправления муниципальных районов и городских округов государственными полномочиями по образованию комиссий по делам несовершеннолетних и защите их прав и организации их деятельности»</t>
  </si>
  <si>
    <t>1) ст.24;                        2) в целом</t>
  </si>
  <si>
    <t>1) 01.01.2006 - не установлена;                    2) 01.01.2007 - не установлена</t>
  </si>
  <si>
    <t>1) Закон Пермского края от 12.03.2007 №12-ПК "О защите населения и территорий Пермского края от чрезвычайных ситуаций природного и техногенного характера"</t>
  </si>
  <si>
    <t>04; 06; 13</t>
  </si>
  <si>
    <t>01; 12</t>
  </si>
  <si>
    <t>13; 02</t>
  </si>
  <si>
    <t>01; 03; 07</t>
  </si>
  <si>
    <t>13; 09</t>
  </si>
  <si>
    <t>01; 10</t>
  </si>
  <si>
    <t>03; 07; 11</t>
  </si>
  <si>
    <t>14; 02; 01</t>
  </si>
  <si>
    <t>01; 02; 07; 09</t>
  </si>
  <si>
    <t xml:space="preserve">1) Федеральный закон 131-ФЗ от 06.10.2003 "Об общих принципах организации местного самоуправления  в РФ";                   2) Федеральный закон от 12.06.2002 № 67-ФЗ "Об основных гарантиях избирательных прав и права на участие в референдуме граждан Российской Федерации"                  </t>
  </si>
  <si>
    <t>1) п. 5  ч. 1 ст. 17;                2) ст. 57</t>
  </si>
  <si>
    <t xml:space="preserve">1) ч. 1 ст. 17;   </t>
  </si>
  <si>
    <t>02; 04; 03</t>
  </si>
  <si>
    <t xml:space="preserve">01; </t>
  </si>
  <si>
    <t>11;</t>
  </si>
  <si>
    <t>06.10.2003 не установлена</t>
  </si>
  <si>
    <t>1) 06.10.2003 не установлена; 2) 08.11.2007 не установлена</t>
  </si>
  <si>
    <t>1) 06.10.2003 не установлена; 2) 10.03.2006 не установлена; 3) 29.07.2002 не установлена</t>
  </si>
  <si>
    <t>03; 06; 13</t>
  </si>
  <si>
    <t xml:space="preserve">1) 06.10.2003 не установлена;                                                                                                  2) 24.12.1994 не установлена;             </t>
  </si>
  <si>
    <t>1) 31.03.2007 не установлена</t>
  </si>
  <si>
    <t xml:space="preserve">1) 06.10.2003 не установлена;                                                                                                  2) 10.01.2002 не установлена;             </t>
  </si>
  <si>
    <t>1) 03.09.2009 не установлена</t>
  </si>
  <si>
    <t xml:space="preserve">1) 06.10.2003 не установлена;                                                                                                  2) 01.01.2013 не установлена;             </t>
  </si>
  <si>
    <t xml:space="preserve">1) 06.10.2003 не установлена;                                                                                                  2) 22.11.2011 не установлена;             </t>
  </si>
  <si>
    <t>1) 06.10.2003 не установлена;                                                                                                  2) 29.06.1998 не установлена;             3) 10.01.2002 не установлена</t>
  </si>
  <si>
    <t>1) 06.10.2003 не установлена;                     2) 22.10.2004 не установлена</t>
  </si>
  <si>
    <t>1) 06.10.2003 не установлена;                     2) 02.01.1995 не установлена</t>
  </si>
  <si>
    <t>1) 05.03.2008 не установлена</t>
  </si>
  <si>
    <t>1) 06.10.2003 не установлена;                     2) 09.10.1992 не установлена</t>
  </si>
  <si>
    <t>1) 07.04.1999 не установлена</t>
  </si>
  <si>
    <t>1) 06.10.2003 не установлена;                     2) 16.02.1998 не установлена;                            3) 24.12.1994 не установлена</t>
  </si>
  <si>
    <t>1) 06.10.2003 не установлена;                     2) 01.01.2007 не установлена;                           3) 01.01.2008 не установлена</t>
  </si>
  <si>
    <t>1) 01.01.2014-31.12.2020; 2) 09.03.2009 не установлена</t>
  </si>
  <si>
    <t>1) 06.10.2003 не установлена;                     2) 30.03.2008 не установлена</t>
  </si>
  <si>
    <t xml:space="preserve">1) 06.10.2003 не установлена;    </t>
  </si>
  <si>
    <t>1) 06.10.2003 не установлена;                        2) 25.06.2002 не установлена</t>
  </si>
  <si>
    <t>1) 06.10.2003 не установлена;                          2) 27.12.1991 не установлена</t>
  </si>
  <si>
    <t xml:space="preserve">1) 06.10.2003 не установлена;  </t>
  </si>
  <si>
    <t xml:space="preserve">1) 06.10.2003 не установлена;   </t>
  </si>
  <si>
    <t>муниципального образования</t>
  </si>
  <si>
    <t>0105</t>
  </si>
  <si>
    <t>Закон ПК от 04.05.2008 № 228-ПК "О муниципальной службе в Пермском крае"</t>
  </si>
  <si>
    <t>04.05.2008 не установлена</t>
  </si>
  <si>
    <t>1) в целом; 2) в целом</t>
  </si>
  <si>
    <t>04; 05</t>
  </si>
  <si>
    <t>12; 02</t>
  </si>
  <si>
    <t>1) Решение ЗС от 20.02.2003 №  57 "Об утверждении Положений о порядке управления муниципальной собственностью Юсьвинского района"; 2) Постановление администрации ЮМР от  18.05.2016 № 152 "О приобретении в муниципальную собственность Юсьвинского муниципального района объекта недвижимого имущества"</t>
  </si>
  <si>
    <t>1) 01.01.2003 не установлена; 2) 01.05.2016 не установлена</t>
  </si>
  <si>
    <t>1) в целом; 2) в целом; 3) в целом</t>
  </si>
  <si>
    <t>Решение ЗС от 02.09.2014 № 374 "Об утверждении Положения об организации пассажирских перевозок автомобильным транспортом общего пользования на маршрутах регулярных перевозок в границах Юсьвинского муниципального района"</t>
  </si>
  <si>
    <t>04.09.2014 не установлена</t>
  </si>
  <si>
    <t>1) РСЗ от 17.12.2015 № 37"Об утверждения положения о денежном содержании выборных должностных лиц органов местного самоуправления ЮМР, осуществляющих свои полномочия на постонянной основе"; 2) Решение ЗС ЮМР от 30.04.2013 № 263 "Об утверждении положения о денежном содержании муниципальных служащих ОМС ЮМР" (изм. от 29.04.2014 № 355); 3) РЗС от 09.11.2012 № 215 "Об утверждении Положения о компенсационных выплатах депутатам Земского собрания Юсьвинского муниципального района"</t>
  </si>
  <si>
    <t>1) 21.09.2015 не установлена; 2) 01.01.2013 не установлена; 3) 01.01.2013 не установлена</t>
  </si>
  <si>
    <t xml:space="preserve">Постановление администрации ЮМР от 24.10.2011 № 572 "Об утверждении Порядка использования бюджетных ассигнований резервного фонда администрации Юсьвинского муниципального района" (изм. От 19.07.2013 № 417) </t>
  </si>
  <si>
    <t>24.10.2011 не установлена</t>
  </si>
  <si>
    <t>Постановление администрации ЮМР от 25.09.2015 № 344/ "О внесении изменений в муниципальную программу  "Охрана окружающей среды на территории Юсьвинского муниципального района на 2015-2017 годы"</t>
  </si>
  <si>
    <t>01.01.2016 не установлена</t>
  </si>
  <si>
    <t>01.01.2016 - 31.12.2018</t>
  </si>
  <si>
    <t>Постановление администрации ЮМР от 28.07.2016 № 224 "О реализации мер по привлечению молодых специалистов в медицинские организации,  расположенные на территории Юсьвинского муниципального района и оказывающие медицинскую помощь населению Юсьвинского муниципального района"</t>
  </si>
  <si>
    <t xml:space="preserve">Поастановление администрации ЮМР от 25.09.2015 № 344/6 "О продлении действия муниципальной программы «Совершенствование муниципального управления в Юсьвинском муниципальном районе на 2015-2017 годы» на 2018 год </t>
  </si>
  <si>
    <t>1) Постановление администрации ЮМР от 27.05.2015 № 215 "Об утверждении Положения об оплате труда работников муиципальных учреждений культуры Юсьвинского муниципального района"; 2) Постановление администрации ЮМР от 24.09.2015 № 336 "Об утверждении Порядка формирования муниципального задания на оказание муниципальных услуг (выполнение работ), его финансового обеспечения и осуществления контроля за выполнением муниципального задания на оказание муниципальных услуг (выполнения работ)" (изм. от 07.07.2016 № 202); 3) РЗС от 22.05.2009 № 35 "Об утверждении Положения о порядке предоставления библиотечных услуг населению Юсьвинского муниципального района муниципальными библиотеками"</t>
  </si>
  <si>
    <t>1) 27.05.2016 не установлен; 2) 01.01.2016 не установлен; 3) 22.05.2009 не установлен</t>
  </si>
  <si>
    <t xml:space="preserve">1) Постановление администрации ЮМР от 27.05.2015 № 215 "Об утверждении Положения об оплате труда работников муиципальных учреждений культуры Юсьвинского муниципального района"; 2) Постановление администрации ЮМР от 24.09.2015 № 336 "Об утверждении Порядка формирования муниципального задания на оказание муниципальных услуг (выполнение работ), его финансового обеспечения и осуществления контроля за выполнением муниципального задания на оказание муниципальных услуг (выполнения работ)" (изм. от 07.07.2016 № 202); </t>
  </si>
  <si>
    <t xml:space="preserve">1) в целом; 2) в целом; </t>
  </si>
  <si>
    <t xml:space="preserve">1) 27.05.2016 не установлен; 2) 01.01.2016 не установлен; </t>
  </si>
  <si>
    <t>Постановление администрации ЮМР от 05.10.2015 № 362/4 "О внесении изменений в муниципальную программу «Обеспечение безопасности жизнедеятельности населения и территории Юсьвинского муниципального района на 2015-2017 годы»</t>
  </si>
  <si>
    <t>1)в целом; 2) в целом</t>
  </si>
  <si>
    <t>Постановление администрации ЮМР от 05.10.2015 № 362/2 "Об утверждении муниципальной программы «Развитие физической культуры и спорта в Юсьвинском муниципальном районе"</t>
  </si>
  <si>
    <t>1) 01.01.2016 - 31.12.2018; 2) 01.01.2016 - 31.12.2016</t>
  </si>
  <si>
    <t>1) Постановление администрации ЮМР от 25.09.2015 № 344/ "О внесении изменений в    муниципальную программу «Развитие сельского хозяйства в Юсьвинском муниципальном районе на 2015-2017 годы»; 2) Постановление администрации ЮМР от 31.03.2016 № 92 "Об утверждении Порядка предоставления в 2016 году поддержки начинающим фермерам в ЮМР" (изм. от 18.07.2016 № 210)</t>
  </si>
  <si>
    <t>Постановление администрации от19.10.2015 № 382 "Об утверждении Положения о системе оплаты труда работников МКУ Юсьвинского муниципального района "Газета "Юсьвинские вести"</t>
  </si>
  <si>
    <t>1) Решение Земского собрания от 03.06.2014 № 363 "Об утверждении Положения о комиссии по делам несовершеннолетних и защите их прав Юсьвинского муниципального района"; 2) Постановление администрации ЮМР от 04.04.2014 № 162 "О принятии расходных обязательств по исполнению переданных государтсвенны полномочий по образованию комиссий по делам несовершеннолетних и защите их прав и организации их деятельности"</t>
  </si>
  <si>
    <t>1) 05.06.2014-не установлена; 2) 01.01.2014 не установлена</t>
  </si>
  <si>
    <t>01.01.2014 - не установлена</t>
  </si>
  <si>
    <t>Постановление администрации ЮМР от 09.04.2014 № 168/7 "О принятии расходных обязательств по исполнению переданных государственных полномочий по социальной поддержке, социальной помощи и социальному обслуживанию отдельных категорий граждан"</t>
  </si>
  <si>
    <t>Постановление администрации ЮМР от 16.05.2014 № 251 "О принятии расходного обязательства по исполнению переданных полномочий по регулированию тарифов на перевозки пассажиров и багажа автомобильным и городским электрическим транспортом на поселенческих, районных и межмуниципальных маршрутах городского, пригородного и междугородного сообщений"</t>
  </si>
  <si>
    <t>Постановление администрации ЮМР от 15.04.2014 № 178 "О принятии расходных обязательств по исполнению преданных государственных полномочий на государственную регистрацию актов гражданского состояния"</t>
  </si>
  <si>
    <t>1) РСЗ от 17.12.2015 № 37"Об утверждения положения о денежном содержании выборных должностных лиц органов местного самоуправления ЮМР, осуществляющих свои полномочия на постонянной основе"; 2) Решение ЗС ЮМР от 30.04.2013 № 263 "Об утверждении положения о денежном содержании муниципальных служащих ОМС ЮМР" (изм. от 29.04.2014 № 355); 3) Постановление администрации ЮМР от 02.04.2013 № 166 "Об утверждении Положения о системе оплаты труда работников, осуществляющих техническое обеспечение деятельности органов местного самоуправления Юсьвинсокго муниципального района"; 4) Постановление администрации ЮМР от 27.09.2012 № 595 "Об утверждении положения о Почетной грамоте, Благодарности администрации района, Благодарственном письме главы района-главы администрации ЮМР"</t>
  </si>
  <si>
    <t>1) в целом; 2) в целом; 3) в целом; 4) в целом</t>
  </si>
  <si>
    <t>1) 21.09.2015 не установлена; 2) 01.01.2013 не установлена; 3) 01.01.2013 не установлена; 4) 27.09.2012 не установлена</t>
  </si>
  <si>
    <t>1) в целом; 2) в целом; 3) в целом; 4) в целом; 5) в целом</t>
  </si>
  <si>
    <t>1) Постановление администрации ЮМР от 24.09.2015 № 336 "Об утверждении Порядка формирования муниципального задания на оказание муниципальных услуг (выполнение работ), его финансового обеспечения и осуществления контроля за выполнением муниципального задания на оказание муниципальных услуг (выполнения работ)" (изм. от 07.07.2016 № 202); 2) Постановление администрации ЮМР от 20.02.2016 № 56 "Об изменении значений базовых нормативов затрат на оказание муниципальных услуг, значений территориальных и отраслевых корректирующих коэффициентов, применяемых при расчете нормативных затрат на оказание муниципальных услуг, и значений нормативных затрат на оказание муниципальных услуг"; 3) Постановление администрации ЮМР от 15.04.2016 № 110 "Об организации отдыха, оздоровления и занятости детей ЮМР в 2016 году"</t>
  </si>
  <si>
    <t>1) 01.01.2016 не установлена; 2) 01.01.2016 не установлена; 3) 01.01.2016 - 31.12.2016</t>
  </si>
  <si>
    <t>1) Закон Пермского края от 14.11.2008 № 326-ПК "Об автомобильных дорогах и дорожной деятельности";                                   2)  Постановление Правительства Пермского края от 23.12.2011 №1114-п "Об утверждении Порядка формирования и использования бюджетных ассигнований дорожного фонда Пермского края"; 3) Постановление Правительства ПК от 12.12.2014 № 1447-п "Об утверждении Порядка предоставления субсидий  бюджетам МО ПК на проектирование и строительство (реконструкцию), капитальный ремонт и ремонт автомобильных дорог общего пользования местного значения, находящихся на территории ПК"</t>
  </si>
  <si>
    <t>1) ст. 9;                   2) в целом; 3) в целом</t>
  </si>
  <si>
    <t>1) 02.12.2008 не установлена;             2) 01.01.2012 не установлена; 3) 01.01.2015 не установлена</t>
  </si>
  <si>
    <t>1) Решение ЗС от 06.05.2011  № 73 "Об утверждении Положения "О порядке ремонта автомобильных дорог общего пользования местного значения в границах Юсьвинского муниципального района"; 2) Решение ЗС от 06.05.2011 № 70 "Об утверждении Положения "Об осуществлении дорожной деятельности в отношении автомобильных дорог общего пользования местного значения в границах Юсьвинского муниципального района"; 3) Решение ЗС от 06.05.2011 № 72 "Об утверждении Положения "О порядке содержания автомобильных дорог общего пользования местного значения в границах Юсьвинского муниципального района"; 4) Постановление главы ЮМР от 23.10.2009 № 474 "Об утверждении нормативов финансовых затрат на капитальный ремонт, ремонт и содержание автомобильных дорог местного значения и правилах расчета размера ассигнований бюджета ЮМР" (изм. от 28.04.2016 № 126); 5) Постановление администрации ЮМР от 23.05.2016 № 157 " Об утверждении объемов расходов по объекту "Восстановительные работы участка "Архангельск-Чинагорт"; 6) Постановление администрации ЮМР от 23.05.2016 № 157/1 " Об утверждении объемов расходов по объекту "Текущий ремонт "Тимино-Тукачево"</t>
  </si>
  <si>
    <t>1) в целом; 2) в целом; 3) в целом; 4) в целом; 5) в целом; 6) в целом</t>
  </si>
  <si>
    <t>1) 01.01.2011 не установлена; 2) 01.01.2011 не установлена; 3) 01.01.2011 не установлена; 4) 01.01.2009 не установлена; 5) 01.01.2016 - 31.12.2016; 6) 01.01.2016 - 31.12.2016</t>
  </si>
  <si>
    <t>1) Постановление администрации ЮМР от 02.04.2013 № 166 "Об утверждении Положения о системе оплаты труда работников, осуществляющих техническое обеспечение деятельности органов местного самоуправления Юсьвинсокго муниципального района"; 2) Постановление администрации ЮМР от 01.10.2015 № 354 "Об Утверждении положения о системе оплаты труда работников муниципального казенного учреждения Юсьвинского муниципального района "Единый сервисный центр" (с изм. от 15.02.2016 № 47; 04.07.2016 № 194); 3) Постановление администрации ЮМР от 30.11.2012 № 762/1 "Об утверждении положения о системе оплаты труда работникков Муниципального казенного учреждения Юсьвинского муниципального района "Единый учетный центр"; 4) Постановление администрации ЮМР от 27.01.2016 № 25 "Об утверждении Положения о системе оплаты труда работников муниципального казенного учреждения ЮМР "Информационно-методический центр"; 5) Постановление администрации ЮМР от 21.10.2015 № 389 "Об утверждении Положения о системе оплаты труда работников МКУ "Единая дежурная диспетчерская служба Юсьвинского муниципального района"</t>
  </si>
  <si>
    <t>1) 01.01.2013 - не установлена; 2) 01.01.2014- не установлена; 3) 01.12.20132 - не установлена; 4) 01.01.2016 - не установлена; 5) 01.01.2016 - не установлена</t>
  </si>
  <si>
    <t>0703</t>
  </si>
  <si>
    <t>Реестр расходных обязательств Юсьвинского муиципального района</t>
  </si>
  <si>
    <t>(наименование ГРБС)</t>
  </si>
  <si>
    <t>Исп.</t>
  </si>
  <si>
    <t>Исп</t>
  </si>
  <si>
    <t xml:space="preserve">Исп. </t>
  </si>
  <si>
    <t>п. 4 ч. 1 ст. 15</t>
  </si>
  <si>
    <t>Постановление Правительства Пермского края от 27.12.2016 N 1170-п "Об утверждении Порядка предоставления межбюджетных трансфертов в форме субсидии бюджетам Юсьвинского муниципального района Пермского края, Пожвинского сельского поселения Юсьвинского муниципального района Пермского края для оплаты расходов на приобретение объектов теплоснабжения, расположенных в п. Пожва и с. Юсьва Юсьвинского района Пермского края"</t>
  </si>
  <si>
    <t>01.12.2016-31.12.2018</t>
  </si>
  <si>
    <t>Отдел культуры, молодежной политики и спорта администрации Юсьвинского муниципального района</t>
  </si>
  <si>
    <t>глава района - глава администрации                                                                                         М.Н.Евсин</t>
  </si>
  <si>
    <t>Руководитель                                                                                                                                В.И.Яркова</t>
  </si>
  <si>
    <t>Председатель                                                                                                                                А.В.Власов</t>
  </si>
  <si>
    <t>Исп. О.Н.Кривощекова</t>
  </si>
  <si>
    <t>Финансовое управление администрации Юсьвинского муниципального района</t>
  </si>
  <si>
    <t>Начальник                                                                                                                                    Г.М.Хорошева</t>
  </si>
  <si>
    <t>Исп. Н.С.Котельникова</t>
  </si>
  <si>
    <t>Контрольно-счетная палата Юсьвинского муниципального района</t>
  </si>
  <si>
    <t>Председатель                                                                                                                              А.Г.Истомин</t>
  </si>
  <si>
    <t>1006</t>
  </si>
  <si>
    <t>Управление образования администрации Юсьвинского муниципального района</t>
  </si>
  <si>
    <t>1) 06.10.2003 не установлена;   2) 23.08.2004 Не установлена</t>
  </si>
  <si>
    <t xml:space="preserve">1) Федеральный закон 131-ФЗ от 06.10.2003 "Об общих принципах организации местного самоуправления  в РФ";  2) Федеральный закон от 20.08.2004 N 113-ФЗ "О присяжных заседателях федеральных судов общей юрисдикции в Российской Федерации"
</t>
  </si>
  <si>
    <t xml:space="preserve">Закон Пермского края от 03.02.2008 N 189-ПК "Об утверждении Методики распределения субвенций на осуществление полномочий по составлению списков кандидатов в присяжные заседатели федеральных судов общей юрисдикции Российской Федерации"
</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</si>
  <si>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</si>
  <si>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1.6.1. по предоставлению дотаций на выравнивание бюджетной обеспеченности городских, сельских поселений, всего</t>
  </si>
  <si>
    <t>1.6.2. по предоставлению субсидий в бюджет субъекта Российской Федерации, всего</t>
  </si>
  <si>
    <t>1.6.3. по предоставлению субвенций в бюджеты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</si>
  <si>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1.6.4. по предоставлению иных межбюджетных трансфертов, всего</t>
  </si>
  <si>
    <t>1.6.4.1. 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</si>
  <si>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1.6.4.2. в иных случаях, не связанных с заключением соглашений, предусмотренных в подпункте 1.6.4.1, всего</t>
  </si>
  <si>
    <t>1.7. Условно утвержденные расходы на первый и второй годы планового периода в соответствии с решением о местном бюджете</t>
  </si>
  <si>
    <r>
      <t xml:space="preserve">1.1.2.48. материально-техническое и финансовое обеспечение деятельности органов местного самоуправления </t>
    </r>
    <r>
      <rPr>
        <b/>
        <sz val="8"/>
        <rFont val="Times New Roman"/>
        <family val="1"/>
        <charset val="204"/>
      </rPr>
      <t>без учета вопросов оплаты труда</t>
    </r>
    <r>
      <rPr>
        <sz val="8"/>
        <rFont val="Times New Roman"/>
        <family val="1"/>
        <charset val="204"/>
      </rPr>
      <t xml:space="preserve"> работников органов местного самоуправления</t>
    </r>
  </si>
  <si>
    <r>
      <t xml:space="preserve">1.1.2.49. материально-техническое и финансовое обеспечение деятельности органов местного самоуправления </t>
    </r>
    <r>
      <rPr>
        <b/>
        <sz val="8"/>
        <rFont val="Times New Roman"/>
        <family val="1"/>
        <charset val="204"/>
      </rPr>
      <t>в части вопросов оплаты</t>
    </r>
    <r>
      <rPr>
        <sz val="8"/>
        <rFont val="Times New Roman"/>
        <family val="1"/>
        <charset val="204"/>
      </rPr>
      <t xml:space="preserve"> труда работников органов местного самоуправления</t>
    </r>
  </si>
  <si>
    <t>04; 10; 01</t>
  </si>
  <si>
    <t>01; 03; 08</t>
  </si>
  <si>
    <t>1.6.4.1.3.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РФ</t>
  </si>
  <si>
    <t>1.6.4.2.3. иные межбюджетные трансферты на оказание целевой финансовой помощи органам местного самоуправления поселений (организация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РФ)</t>
  </si>
  <si>
    <r>
      <t xml:space="preserve">1.6.4.2.11. иные межбюджетные трансферты на оказание целевой финансовой помощи органам местного самоуправления поселений (иные направления) </t>
    </r>
    <r>
      <rPr>
        <b/>
        <sz val="9"/>
        <rFont val="Times New Roman"/>
        <family val="1"/>
        <charset val="204"/>
      </rPr>
      <t>(на повышение МРОТ)</t>
    </r>
  </si>
  <si>
    <t>1.6.4.2.4. иные межбюджетные трансферты на оказание целевой финансовой помощи органам местного самоуправления поселений (организация библиотечного обслуживания населения, комплектование и обеспечение сохранности библиотечных фондов библиотек поселения; создание условий для организации досуга и обеспечения жителей поселения услугами организаций культуры, обеспечение условий для развития на территории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поселени)</t>
  </si>
  <si>
    <t>1.6.4.2.5. иные межбюджетные трансферты на оказание целевой финансовой помощи органам местного самоуправления поселений (обеспечение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</si>
  <si>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12</t>
  </si>
  <si>
    <t>раздел, подраздел</t>
  </si>
  <si>
    <t>04/12</t>
  </si>
  <si>
    <t>1) Федеральный закон 131-ФЗ от 06.10.2003 "Об общих принципах организации местного самоуправления  в РФ"; 2)  Федеральный закон от 24.07.2007 N 221-ФЗ "О кадастровой деятельности"</t>
  </si>
  <si>
    <t>1) 06.10.2003 не установлена; 2) 30.07.2007 не установлена</t>
  </si>
  <si>
    <t>04/09</t>
  </si>
  <si>
    <t>04/08</t>
  </si>
  <si>
    <t>03/14</t>
  </si>
  <si>
    <t>06/05</t>
  </si>
  <si>
    <t>07/01</t>
  </si>
  <si>
    <t>07/07</t>
  </si>
  <si>
    <t xml:space="preserve"> Постановление Правительства Пермского края от 19.09.2017 N 789-п "Об утверждении Порядка предоставления иных межбюджетных трансфертов из бюджета Пермского края бюджетам муниципальных районов (городских округов) Пермского края на реализацию мероприятий по созданию условий осуществления медицинской деятельности в модульных зданиях"</t>
  </si>
  <si>
    <t>Закона ПК от 14.09.2011 № 805-ПК «О градостроительной деятельности в Пермском крае»</t>
  </si>
  <si>
    <t>РЗС от 21.05.2008 № 27 «Об утверждении Положения о составе, порядке подготовки документов территориального планирования на территории Юсьвинского муниципального района, порядке подготовки изменений и внесения их в документы»</t>
  </si>
  <si>
    <t>01/13</t>
  </si>
  <si>
    <t>08/01</t>
  </si>
  <si>
    <t>04/05</t>
  </si>
  <si>
    <t xml:space="preserve">1) Закон Пермского края от 26.02.2009 №392-ПК "О развитии малого и среднего предпринимательства в Пермском крае" </t>
  </si>
  <si>
    <t>1) Федеральный закон 131-ФЗ от 06.10.2003 "Об общих принципах организации местного самоуправления  в РФ";  2)  Федеральный закон от 12.01.1996 N 7-ФЗ  "О некоммерческих организациях"</t>
  </si>
  <si>
    <t>1) 06.10.2003 не установлена;  2) 24.01.1996 не установлена</t>
  </si>
  <si>
    <t>11/01</t>
  </si>
  <si>
    <t>10/03</t>
  </si>
  <si>
    <t>Закона   Пермского   края   от   09.11.2009   No   525-ПК   «О   выборах   депутатов   представительных  органов  муниципальных  образований  в  Пермском  крае»</t>
  </si>
  <si>
    <t>ч. 1, 6, 9 ст. 70</t>
  </si>
  <si>
    <t>09.11.2009 не установлена</t>
  </si>
  <si>
    <t>01/07</t>
  </si>
  <si>
    <t>12/01</t>
  </si>
  <si>
    <t>10/01</t>
  </si>
  <si>
    <t>01/05</t>
  </si>
  <si>
    <t xml:space="preserve">1) ст. 37, 41;  </t>
  </si>
  <si>
    <t>01/04</t>
  </si>
  <si>
    <t>1) Закон Пермского края от 07.06.2013 №209-ПК "О передаче органам местного самоуправления Пермского края отдельных государственных полномочий по поддержке сельскохозяйственного производства"; 2) Постановление Правительства ПК от 15.07.2013 № 904-п "Об утверждении Порядка предоставления и использования субвенций из бюджета ПК бюджетам муниципальных районов, городских округов ПК для осуществления отдельных государственных полномочий по поддержке селькохозяйственного производства"</t>
  </si>
  <si>
    <t xml:space="preserve"> Постановление администрации ЮМР от 15.04.2014 № 178/2 "О принятии расходных обязательств по исполнению переданных государственных полномочий по поддержке сельскохозяйственного производства"</t>
  </si>
  <si>
    <t xml:space="preserve">1) Федеральный закон 131-ФЗ от 06.10.2003 "Об общих принципах организации местного самоуправления  в РФ";   </t>
  </si>
  <si>
    <t>1) в целом;                    2) ст.4</t>
  </si>
  <si>
    <t>1.6.4.2.12. иные межбюджетные трансферты на оказание нецелевой финансовой помощи органам местного самоуправления поселений (в виде иных дотаций)</t>
  </si>
  <si>
    <t>2312</t>
  </si>
  <si>
    <t>Уточненный план</t>
  </si>
  <si>
    <t>Исполнено</t>
  </si>
  <si>
    <t>Плановый период</t>
  </si>
  <si>
    <t>Очередной финансовый год ( 2020 )</t>
  </si>
  <si>
    <t>Финансовый год +1 ( 2021)</t>
  </si>
  <si>
    <t>Финансовй год +2 (2022)</t>
  </si>
  <si>
    <t>2500</t>
  </si>
  <si>
    <t>2. Расходные обязательства, возникшие в результате принятия нормативных правовых актов муниципального округа, заключения договоров (соглашений), всего
из них:</t>
  </si>
  <si>
    <t>2.1.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 в том числе:</t>
  </si>
  <si>
    <t>2.1.1. составление и рассмотрение проекта бюджета муниципального, городского округа, утверждение и исполнение бюджета муниципального, городского округа, осуществление контроля за его исполнением, составление и утверждение отчета об исполнении бюджета муниципального, городского округа</t>
  </si>
  <si>
    <t>2.1.3. владение, пользование и распоряжение имуществом, находящимся в муниципальной собственности муниципального, городского округа</t>
  </si>
  <si>
    <t>2.1.4. организация в границах муниципального,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</si>
  <si>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2.1.6. дорожная деятельность в отношении автомобильных дорог местного значения в границах муниципального,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муниципального, городского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</si>
  <si>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2.1.7. обеспечение проживающих в муниципальном,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</si>
  <si>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2.1.10. создание условий для предоставления транспортных услуг населению и организация транспортного обслуживания населения в границах муниципального, городского округа (в части автомобильного транспорта)</t>
  </si>
  <si>
    <t>2.1.14. 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городского округа</t>
  </si>
  <si>
    <t>2.1.16. участие в предупреждении и ликвидации последствий чрезвычайных ситуаций в границах муниципального, городского округа</t>
  </si>
  <si>
    <t>2.1.19. обеспечение первичных мер пожарной безопасности в границах муниципального, городского округа</t>
  </si>
  <si>
    <t>2.1.20. организация мероприятий по охране окружающей среды в границах муниципального, городского округа</t>
  </si>
  <si>
    <r>
      <t xml:space="preserve">2.1.21. организация предоставления общедоступного и бесплатного </t>
    </r>
    <r>
      <rPr>
        <b/>
        <sz val="8"/>
        <rFont val="Times New Roman"/>
        <family val="1"/>
        <charset val="204"/>
      </rPr>
      <t xml:space="preserve">дошкольного образования </t>
    </r>
    <r>
      <rPr>
        <sz val="8"/>
        <rFont val="Times New Roman"/>
        <family val="1"/>
        <charset val="204"/>
      </rPr>
      <t>(за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r>
  </si>
  <si>
    <r>
      <t xml:space="preserve">2.1.23. организация предоставления общедоступного и бесплатного </t>
    </r>
    <r>
      <rPr>
        <b/>
        <sz val="8"/>
        <rFont val="Times New Roman"/>
        <family val="1"/>
        <charset val="204"/>
      </rPr>
      <t>начального общего, основного общего, среднего общего</t>
    </r>
    <r>
      <rPr>
        <sz val="8"/>
        <rFont val="Times New Roman"/>
        <family val="1"/>
        <charset val="204"/>
      </rPr>
      <t xml:space="preserve"> </t>
    </r>
    <r>
      <rPr>
        <b/>
        <sz val="8"/>
        <rFont val="Times New Roman"/>
        <family val="1"/>
        <charset val="204"/>
      </rPr>
      <t>образования</t>
    </r>
    <r>
      <rPr>
        <sz val="8"/>
        <rFont val="Times New Roman"/>
        <family val="1"/>
        <charset val="204"/>
      </rPr>
      <t xml:space="preserve">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сельской местности</t>
    </r>
  </si>
  <si>
    <r>
      <t xml:space="preserve">2.1.24. организация предоставления </t>
    </r>
    <r>
      <rPr>
        <b/>
        <sz val="8"/>
        <rFont val="Times New Roman"/>
        <family val="1"/>
        <charset val="204"/>
      </rPr>
      <t>дополнительного образования</t>
    </r>
    <r>
      <rPr>
        <sz val="8"/>
        <rFont val="Times New Roman"/>
        <family val="1"/>
        <charset val="204"/>
      </rPr>
      <t xml:space="preserve">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r>
  </si>
  <si>
    <r>
      <t>2.1.25. осуществление в пределах своих полномочий мероприятий по обеспечению</t>
    </r>
    <r>
      <rPr>
        <b/>
        <sz val="8"/>
        <rFont val="Times New Roman"/>
        <family val="1"/>
        <charset val="204"/>
      </rPr>
      <t xml:space="preserve"> организации отдыха детей в каникулярное время</t>
    </r>
    <r>
      <rPr>
        <sz val="8"/>
        <rFont val="Times New Roman"/>
        <family val="1"/>
        <charset val="204"/>
      </rPr>
      <t>, включая мероприятия по обеспечению безопасности их жизни и здоровья</t>
    </r>
  </si>
  <si>
    <t>2.1.27. создание условий для оказания медицинской помощи населению на территории муниципального, городского округа (за исключением территорий муниципальных, городских округов,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</si>
  <si>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2.1.29. организация библиотечного обслуживания населения, комплектование и обеспечение сохранности библиотечных фондов библиотек муниципального, городского округа</t>
  </si>
  <si>
    <t>2.1.30. создание условий для организации досуга и обеспечения жителей муниципального, городского округа услугами организаций культуры</t>
  </si>
  <si>
    <t>2.1.32.  сохранение, использование и популяризация объектов культурного наследия (памятников истории и культуры), находящихся в собственности муниципального, городского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городского округа</t>
  </si>
  <si>
    <t>2.1.33. обеспечение условий для развития на территории муниципального, городского округа физической культуры, школьного спорта и массового спорта</t>
  </si>
  <si>
    <t>2.1.36. формирование и содержание муниципального архива</t>
  </si>
  <si>
    <t>2.1.37. организация ритуальных услуг и содержание мест захоронения</t>
  </si>
  <si>
    <t>2.1.38. 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</si>
  <si>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2.1.40. организация благоустройства территории муниципального,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</si>
  <si>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2.1.43.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</si>
  <si>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2.1.46. 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</si>
  <si>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2.1.51. создание условий для расширения рынка сельскохозяйственной продукции, сырья и продовольствия</t>
  </si>
  <si>
    <t>2.1.52. содействие развитию малого и среднего предпринимательства</t>
  </si>
  <si>
    <t>2.1.53. оказание поддержки социально ориентированным некоммерческим организациям, благотворительной деятельности и добровольчеству</t>
  </si>
  <si>
    <t>2.1.54. организация и осуществление мероприятий по работе с детьми и молодежью в муниципальном, городском округе</t>
  </si>
  <si>
    <t>2.1.56. оказание поддержки гражданам и их объединениям, участвующим в охране общественного порядка, создание условий для деятельности народных дружин</t>
  </si>
  <si>
    <t>2.1.60. организация в соответствии с Федеральным законом от 24 июля 2007 г. № 221-ФЗ «О государственном кадастре недвижимости» выполнения комплексных кадастровых работ и утверждение карты-плана территории</t>
  </si>
  <si>
    <t>2.2.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 в том числе</t>
  </si>
  <si>
    <t>2600</t>
  </si>
  <si>
    <r>
      <t xml:space="preserve">2.2.1. материально-техническое и финансовое обеспечение деятельности органов местного самоуправления </t>
    </r>
    <r>
      <rPr>
        <b/>
        <sz val="8"/>
        <rFont val="Times New Roman"/>
        <family val="1"/>
        <charset val="204"/>
      </rPr>
      <t>без учета вопросов оплаты труда</t>
    </r>
    <r>
      <rPr>
        <sz val="8"/>
        <rFont val="Times New Roman"/>
        <family val="1"/>
        <charset val="204"/>
      </rPr>
      <t xml:space="preserve"> работников органов местного самоуправления</t>
    </r>
  </si>
  <si>
    <r>
      <t>2.2.2. материально-техническое и финансовое обеспечение деятельности органов местного самоуправления</t>
    </r>
    <r>
      <rPr>
        <b/>
        <sz val="8"/>
        <rFont val="Times New Roman"/>
        <family val="1"/>
        <charset val="204"/>
      </rPr>
      <t xml:space="preserve"> в части вопросов оплаты труда</t>
    </r>
    <r>
      <rPr>
        <sz val="8"/>
        <rFont val="Times New Roman"/>
        <family val="1"/>
        <charset val="204"/>
      </rPr>
      <t xml:space="preserve"> работников органов местного самоуправления</t>
    </r>
  </si>
  <si>
    <t>2.2.8.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</si>
  <si>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2.2.13.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</si>
  <si>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2.2.17.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</si>
  <si>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2.2.19.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</si>
  <si>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2700</t>
  </si>
  <si>
    <t>2.3.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 на решение вопросов, не отнесенных к вопросам местного значения муниципального округа, всего, в том числе:</t>
  </si>
  <si>
    <t>2.3.1. по перечню, предусмотренному Законом № 131-ФЗ, всего</t>
  </si>
  <si>
    <t>2.3.2. по участию в осуществлении государственных полномочий (не переданных в соответствии со статьей 19 Закона № 131-ФЗ), если это участие предусмотрено федеральными законами, всего</t>
  </si>
  <si>
    <t>2.3.3.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</si>
  <si>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2.3.3.1. Предоставление доплаты за выслугу лет к трудовой пенсии муниципальным служащим за счет средств местного бюджета</t>
  </si>
  <si>
    <t>2.3.4.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</si>
  <si>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2.4.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</si>
  <si>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2.4.1. за счет субвенций, предоставленных из федерального бюджета, всего</t>
  </si>
  <si>
    <t>2.4.1.2. по составлению списков кандидатов в присяжные заседатели</t>
  </si>
  <si>
    <t>2.4.1.1. на государственную регистрацию актов гражданского состояния</t>
  </si>
  <si>
    <t>02/03</t>
  </si>
  <si>
    <t>2.4.1.3. на осуществление воинского учета на территориях, на которых отсутствуют структурные подразделения военных комиссариатов</t>
  </si>
  <si>
    <t>2.4.2. за счет субвенций, предоставленных из бюджета субъекта Российской Федерации, всего</t>
  </si>
  <si>
    <r>
      <t xml:space="preserve">2.4.2.1. материально-техническое и финансовое обеспечение деятельности органов местного самоуправления </t>
    </r>
    <r>
      <rPr>
        <b/>
        <sz val="8"/>
        <rFont val="Times New Roman"/>
        <family val="1"/>
        <charset val="204"/>
      </rPr>
      <t>без учета вопросов оплаты труда</t>
    </r>
    <r>
      <rPr>
        <sz val="8"/>
        <rFont val="Times New Roman"/>
        <family val="1"/>
        <charset val="204"/>
      </rPr>
      <t xml:space="preserve"> работников органов местного самоуправления</t>
    </r>
  </si>
  <si>
    <r>
      <t xml:space="preserve">2.4.2.2. материально-техническое и финансовое обеспечение деятельности органов местного самоуправления </t>
    </r>
    <r>
      <rPr>
        <b/>
        <sz val="8"/>
        <rFont val="Times New Roman"/>
        <family val="1"/>
        <charset val="204"/>
      </rPr>
      <t>в части вопросов оплаты труда</t>
    </r>
    <r>
      <rPr>
        <sz val="8"/>
        <rFont val="Times New Roman"/>
        <family val="1"/>
        <charset val="204"/>
      </rPr>
      <t xml:space="preserve"> работников органов местного самоуправления</t>
    </r>
  </si>
  <si>
    <r>
      <t>Наименование расходного обязательства</t>
    </r>
    <r>
      <rPr>
        <sz val="12"/>
        <color indexed="8"/>
        <rFont val="Times New Roman"/>
        <family val="1"/>
        <charset val="204"/>
      </rPr>
      <t xml:space="preserve"> </t>
    </r>
    <r>
      <rPr>
        <b/>
        <sz val="11"/>
        <color indexed="8"/>
        <rFont val="Times New Roman"/>
        <family val="1"/>
        <charset val="204"/>
      </rPr>
      <t xml:space="preserve">в форме реестра расходных обязательств муниципальных образований </t>
    </r>
  </si>
  <si>
    <t>Наименование расходного обязательства, передаваемого из бюджета Пермского края в ОМСу</t>
  </si>
  <si>
    <t>СУБВЕНЦИЯ</t>
  </si>
  <si>
    <r>
      <t xml:space="preserve">материально-техническое и финансовое обеспечение деятельности органов местного самоуправления </t>
    </r>
    <r>
      <rPr>
        <b/>
        <sz val="11"/>
        <color indexed="8"/>
        <rFont val="Times New Roman"/>
        <family val="1"/>
        <charset val="204"/>
      </rPr>
      <t>без учета вопросов оплаты труда</t>
    </r>
    <r>
      <rPr>
        <sz val="11"/>
        <color indexed="8"/>
        <rFont val="Times New Roman"/>
        <family val="1"/>
        <charset val="204"/>
      </rPr>
      <t xml:space="preserve"> работников органов местного самоуправления</t>
    </r>
  </si>
  <si>
    <r>
      <t xml:space="preserve">материально-техническое и финансовое обеспечение деятельности органов местного самоуправления </t>
    </r>
    <r>
      <rPr>
        <b/>
        <sz val="11"/>
        <color indexed="8"/>
        <rFont val="Times New Roman"/>
        <family val="1"/>
        <charset val="204"/>
      </rPr>
      <t>в части вопросов оплаты труда</t>
    </r>
    <r>
      <rPr>
        <sz val="11"/>
        <color indexed="8"/>
        <rFont val="Times New Roman"/>
        <family val="1"/>
        <charset val="204"/>
      </rPr>
      <t xml:space="preserve"> работников органов местного самоуправления </t>
    </r>
    <r>
      <rPr>
        <i/>
        <sz val="11"/>
        <color indexed="8"/>
        <rFont val="Times New Roman"/>
        <family val="1"/>
        <charset val="204"/>
      </rPr>
      <t>(отражаются без учета обязательств, связанных с начислениями на выплаты по оплате труда)</t>
    </r>
  </si>
  <si>
    <t>по составлению списков кандидатов в присяжные заседатели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</si>
  <si>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(федеральный бюджет)</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</si>
  <si>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РФ</t>
  </si>
  <si>
    <t xml:space="preserve">1)составление протоколов об административных правонарушениях, </t>
  </si>
  <si>
    <t>2)образование комиссий по делам несовершеннолетних и защите их прав и организация их деятельности</t>
  </si>
  <si>
    <t>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</si>
  <si>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 xml:space="preserve">Поддержка сельскохозяйственного производства на возмещение части процентной ставки по долгосрочным, среднесрочным и краткосрочным кредитам (займам), взятым малыми формами хозяйствования, </t>
  </si>
  <si>
    <t>на установление подлежащих государственному регулированию цен (тарифов) на товары (услуги) в соответствии с законодательством Российской Федерации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</si>
  <si>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</si>
  <si>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1)предоставление государственных гарантий на получение общедоступного бесплатного дошкольного, начального общего, основного общего, среднего общего образования, а также дополнительного образования в общеобразовательных организациях,</t>
  </si>
  <si>
    <t>классное руководство</t>
  </si>
  <si>
    <t>2)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t>
  </si>
  <si>
    <t>4) предоставление мер социальной поддержки педагогическим работникам образовательных организаций</t>
  </si>
  <si>
    <t>на организацию и обеспечение отдыха и оздоровления детей (за исключением организации отдыха детей в каникулярное время)</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</si>
  <si>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из них</t>
  </si>
  <si>
    <t>в части предоставления мер социальной поддержки льготным категориям граждан</t>
  </si>
  <si>
    <t>5)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</si>
  <si>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1)обеспечение жилыми помещениями реабилитированных лиц, имеющих инвалидность или являющихся пенсионерами, и проживающих совместно членов их семей,</t>
  </si>
  <si>
    <t>2)предоставление мер социальной поддержки учащимся из многодетных малоимущих семей,</t>
  </si>
  <si>
    <t xml:space="preserve">
3) предоставление мер социальной поддержки учащимся из малоимущих семей
</t>
  </si>
  <si>
    <t>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</si>
  <si>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 предоставление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</si>
  <si>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в части предоставления мер социальной поддержки детям-сиротам, безнадзорным детям, детям, оставшимся без попечения родителей</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</si>
  <si>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</si>
  <si>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t>
  </si>
  <si>
    <r>
      <t>2)</t>
    </r>
    <r>
      <rPr>
        <sz val="12"/>
        <color indexed="8"/>
        <rFont val="Times New Roman"/>
        <family val="1"/>
        <charset val="204"/>
      </rPr>
      <t xml:space="preserve"> </t>
    </r>
    <r>
      <rPr>
        <sz val="11"/>
        <color indexed="8"/>
        <rFont val="Times New Roman"/>
        <family val="1"/>
        <charset val="204"/>
      </rPr>
      <t xml:space="preserve">Содержание жилых помещений специализированного жилищного фонда для детей-сирот, детей, оставшихся без попечения родителей, лиц из их числа </t>
    </r>
  </si>
  <si>
    <t>3) Организация осуществления гос.полномочий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</si>
  <si>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4) Приведение в нормативное состояние жилых помещений специализированного жилищного фонда для детей-сирот и детей, оставшихся без попечения родителей, лиц из их числа, общего имущества многоквартирных домов, в которых расположены данные жилые помещения</t>
  </si>
  <si>
    <t>на установление дополнительных мер социальной поддержки и социальной помощи для отдельных категорий граждан, не предусмотренных подпунктом 24 пункта 2 статьи 26.3 Федерального закона от 6 октября 1999 года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</si>
  <si>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1)Единовременная денежная выплата педагогическим работникам муниципальных общеобразовательных учреждений на приобретение (строительство) жилого помещения</t>
  </si>
  <si>
    <t>2) предоставление мер социальной поддержки отдельным категориям граждан, работающим в государственных и муниципальных организациях Пермского края и проживающим в сельской местности и поселках городского типа (рабочих поселках), по оплате жилого помещения и коммунальных услуг</t>
  </si>
  <si>
    <t>3) Обеспечение жильем молодых семей - Предоставление дополнительной социальной выплаты молодым семьям при рождении (усыновлении) 1 ребенка в размере 100 процентов от суммы, указанной в свидетельстве</t>
  </si>
  <si>
    <t>4) Обеспечение жильем молодых семей - Предоставление социальных выплат молодым семьям за счет средств краевого бюджета в размере 10 % расчетной (средней) стоимости жилья</t>
  </si>
  <si>
    <t>Вопрос местного значения МО</t>
  </si>
  <si>
    <t>организация в соответствии с Федеральным законом от 24 июля 2007 года N 221-ФЗ "О государственном кадастре недвижимости" выполнения комплексных кадастровых работ и утверждение карты-плана территории.</t>
  </si>
  <si>
    <t>1) Проведение комплексных кадастровых работ.
2) Разработка проектов межевания и проведение комплексных кадастровых работ</t>
  </si>
  <si>
    <t>обеспечение  проживающих в муниципальном образовании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</si>
  <si>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Обеспечение жильем отдельных категорий граждан
Предоставление социальных выплат молодым семьям на приобретение (строительство) жилья на территории ПК в размере 30-35%, софинансирование ФЦП "Жилище"</t>
  </si>
  <si>
    <t>Обеспечение работников учреждений бюджетной сферы Пермского края путевками на санаторно-курортное лечение и оздоровление</t>
  </si>
  <si>
    <t>В случае если  отраслевой орган местного самоуправления  приобретает путевки для подведомственных учреждений,  расходы необходимо отнести к полномочию в соответствующей сфере (отрасли).
В случае если  в муниципальном образовании  определен один уполномоченный орган для организации обеспечения работников муниципальных учреждений путевками и отнести расходы к соответствующей сфере (отрасли), для работников которой приобретаются путевки, не представляется возможным, расходы отражаются по полномочию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</si>
  <si>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Реализация мероприятий по созданию условий осуществления медицинской деятельности в модульных зданиях.</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</si>
  <si>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</si>
  <si>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 xml:space="preserve"> Выплата единовременных премий обучающимся, награжденным знаком отличия Пермского края "Гордость Пермского края"</t>
  </si>
  <si>
    <t>2.4.2.6.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</si>
  <si>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2.4.2.27.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</si>
  <si>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2.4.2.35.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</si>
  <si>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2.4.3.36.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</si>
  <si>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2.4.2.38.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</si>
  <si>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2.4.2.40. 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  № 124-ФЗ «Об основных гарантиях прав ребенка в Российской Федерации»</t>
  </si>
  <si>
    <t>2.4.3.53.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</si>
  <si>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2.4.2.59. на установление подлежащих государственному регулированию цен (тарифов) на товары (услуги) в соответствии с законодательством Российской Федерации</t>
  </si>
  <si>
    <t>2.4.2.88. на осуществление полномочий в связи с установлением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года № 4520-1 «О государственных гарантиях и компенсациях для лиц, работающих и проживающих в районах Крайнего Севера и приравненных к ним местностях»</t>
  </si>
  <si>
    <t>2.4.2.95. на установление дополнительных мер социальной поддержки и социальной помощи для отдельных категорий граждан, не предусмотренных подпунктом 24 пункта 2 статьи 26.3 Федерального закона от 6 октября 1999 года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</si>
  <si>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 xml:space="preserve">2.4.3. за счет собственных доходов и источников финансирования дефицита бюджета муниципального района, всего
</t>
  </si>
  <si>
    <t>2.5.Расходы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t>
  </si>
  <si>
    <t>2.5.2.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сельской местности)</t>
  </si>
  <si>
    <t>2.5.3.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</si>
  <si>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2.6. Расходные обязательства, возникшие в результате принятия нормативных правовых актов городского округа, заключения соглашений, предусматривающих предоставление межбюджетных трансфертов из бюджета городского округа другим бюджетам бюджетной системы Российской Федерации, всего</t>
  </si>
  <si>
    <t>2.6.1. по предоставлению субсидий бюджету субъекта Российской Федерации, всего</t>
  </si>
  <si>
    <t>2.6.2. по предоставлению иных межбюджетных трансфертов, всего</t>
  </si>
  <si>
    <t>2.7. Условно утвержденные расходы на первый и второй годы планового периода в соответствии с решением о местном бюджете</t>
  </si>
  <si>
    <t>2.1.1. составление и рассмотрение проекта бюджета муниципального, городского округа, утверждение и исполнение бюджета муниципального, городского округа, осуществление контроля за его исполнением, составление и утверждение отчета об исполнении бюджета муниципального округа</t>
  </si>
  <si>
    <t>2.1.3. владение, пользование и распоряжение имуществом, находящимся в муниципальной собственности муниципального округа</t>
  </si>
  <si>
    <t>2.1.4. 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</si>
  <si>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пп. 6 п. 1 ст. 16</t>
  </si>
  <si>
    <t>пп. 7 п. 1 ст. 16</t>
  </si>
  <si>
    <t xml:space="preserve">1) пп. 8 п. 1 ст. 16;                                                                                                                                                                     2) ст. 11;                </t>
  </si>
  <si>
    <t xml:space="preserve">1) пп. 11 п. 1 ст. 16;                                                                                                                                                                     2) ст. 7;                </t>
  </si>
  <si>
    <t xml:space="preserve">1) пп. 13 п. 1 ст. 16;                                                                                                                                                                     2) ст. 9;                </t>
  </si>
  <si>
    <t>1) пп. 16 п. 1 ст. 16;                         2) ч. 2 ст. 15</t>
  </si>
  <si>
    <t>1) пп. 17 п. 1 ст. 16;                         2) ст. 40</t>
  </si>
  <si>
    <t>пп. 18 п. 1 ст. 16</t>
  </si>
  <si>
    <t>пп. 23 п. 1 ст. 16</t>
  </si>
  <si>
    <t>06.10.2003 не установлена;</t>
  </si>
  <si>
    <t>пп. 25 п. 1 ст. 16</t>
  </si>
  <si>
    <t>пп. 26 п. 1 ст. 16</t>
  </si>
  <si>
    <t xml:space="preserve">1) пп. 33 п. 1 ст. 16;                         2) в целом;        </t>
  </si>
  <si>
    <t>1) пп. 33 п. 1 ст. 16; 2) ст. 31.1, 31.3</t>
  </si>
  <si>
    <t xml:space="preserve">1) пп. 34 п. 1 ст. 16;   </t>
  </si>
  <si>
    <t>1) пп. 43 п. 1 ст. 16; 2) ст. 42.2</t>
  </si>
  <si>
    <t xml:space="preserve">1) пп.3 п. 1 ст. 17;   </t>
  </si>
  <si>
    <t xml:space="preserve">1) пп. 5 п. 1 ст. 17;  </t>
  </si>
  <si>
    <t>1) пп. 7  п. 1 ст. 17;                       2) ст. 7</t>
  </si>
  <si>
    <t xml:space="preserve">1) пп. 8.1  п. 1 ст. 17;  </t>
  </si>
  <si>
    <t>Материально-техническое и финансовое обеспечение деятельности органов местного самоуправления за счет субвенции Администрирование отдельных государственных полномочий 
(административные комиссии; архив; Крайний север; по поддержке сельскохозяйственного производства (администрирование), реабелитированные, дети-сироты, эвтаназия</t>
  </si>
  <si>
    <t>0203</t>
  </si>
  <si>
    <t>1) 06.10.2003 не установлена; 2) 01.06.2007 не установлена</t>
  </si>
  <si>
    <t xml:space="preserve">1) Закон ПК от 04.05.2008 № 228-ПК "О муниципальной службе в Пермском крае"; 
</t>
  </si>
  <si>
    <t xml:space="preserve">1) в целом; </t>
  </si>
  <si>
    <t xml:space="preserve">1) Федеральный закон 131-ФЗ от 06.10.2003 "Об общих принципах организации местного самоуправления  в РФ";    2) Федеральный  закон  от 24.06.1999 №120-ФЗ «Об основах системы профилактики безнадзорности и правонарушений несовершеннолетних»; </t>
  </si>
  <si>
    <t xml:space="preserve">1) абз. 1 п. 5 ст. 19;   </t>
  </si>
  <si>
    <t>1) абз. 1 п. 5 ст. 19;</t>
  </si>
  <si>
    <t>1) абз. 1 п. 5 ст. 19;   2) ст. 11</t>
  </si>
  <si>
    <t>1) Закон Пермского края от 30.08.2010 г. № 668-ПК «О наделении органов местного самоуправления государственными полномочиями Пермского края по составлению протоколов об административных правонарушениях»; 2) Закон Пермского края от 19.12.2006 г. № 44-КЗ «О наделении органов местного самоуправления муниципальных районов и городских округов государственными полномочиями по образованию комиссий по делам несовершеннолетних и защите их прав и организации их деятельности»; 3) ﻿Постановление Правительства ПК от 03.05.2011 № 246-п "Об утверждении Порядка расходования средств, переданных бюджетам муниципальных образований Пермского края на выполнение государственных полномочий по составлению протоколов об административных правонарушениях"; 4) ﻿Закон ПК от 01.12.2015 № 576-ПК "О наделении органов местного самоуправления государственными полномочиями Пермского края по созданию и организации деятельности административных комиссий"</t>
  </si>
  <si>
    <t>1) ст. 5; 2) в целом; 3) в целом; 4) ст. 5</t>
  </si>
  <si>
    <t xml:space="preserve">1) Федеральный закон 131-ФЗ от 06.10.2003 "Об общих принципах организации местного самоуправления  в РФ";   2) ﻿Федеральный закон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t>
  </si>
  <si>
    <t xml:space="preserve">1) Федеральный закон 131-ФЗ от 06.10.2003 "Об общих принципах организации местного самоуправления  в РФ"; 2) Федеральный закон от 25.10.2002 №125-ФЗ "О жилищных субсидиях гражданам, выезжающим из районов Крайнего Севера и приравненным к ним местностей";  3) Постановление Правительства Российской Федерации от 10.12.2002 №879 "Об утверждении Положения о регистрации и учете граждан, имеющих право на получение социальных выплат для приобретения жилья в связи с переселением из районов Крайнего Севера и приравненных к ним местностей" </t>
  </si>
  <si>
    <t>1) абз. 1 п. 5 ст. 19; 2) ст. 3; 3) ст. 3</t>
  </si>
  <si>
    <t xml:space="preserve">1) Закон ПК от 09.07.2007 № 74-ПК "О наделении органов местного самоуправления муниципальных районов и городских округов государственными полномочиями по хранению, комплектованию, учету и использованию архивных документов государственной части документов архивного фонда Пермского края"; 2) ﻿Закон ПК от 07.06.2013 N 209-ПК "О передаче органам местного самоуправления Пермского края отдельных государственных полномочий по поддержке сельскохозяйственного производства"; 3) Закон Пермского края от 18.12.2007 №159-ПК "О наделении органов местного самоуправления муниципальных районов и городских округов Пермского края государственными полномочиями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 4) Постановление Правительства Пермского края от 21.12.2007 №357-п "Об утверждении Порядка передачи и расходования субвенций, предоставляемых из бюджета Пермского края бюджетам муниципальных районов и городских округов Пермского края для осуществления государственных полномочий Пермского края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 </t>
  </si>
  <si>
    <t>1) в целом; 2) ст. 7; 3) ст. 6; 4) в целом</t>
  </si>
  <si>
    <t>1) 24.07.2007 не установлена; 2) 28.06.2013 не установлена; 3) 31.12.2007 - не установлена; 4) 28.12.2007 - не установлена</t>
  </si>
  <si>
    <t>﻿Закон Пермского края от 29.02.2016 № 612-ПК "О передаче органам местного самоуправления Пермского края отдельных государственных полномочий по организации проведения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t>
  </si>
  <si>
    <t>25.03.2016 не установлена</t>
  </si>
  <si>
    <t>1) абз. 1 п. 5 ст. 19;   2) п. 15 ст. 5</t>
  </si>
  <si>
    <t>ст. 6</t>
  </si>
  <si>
    <t>1) Федеральный закон 131-ФЗ от 06.10.2003 "Об общих принципах организации местного самоуправления  в РФ"; 2) П﻿остановление Правительства РФ от 29.04.2006 № 258 "О субвенциях на осуществление полномочий по первичному воинскому учету на территориях, где отсутствуют военные комиссариаты"</t>
  </si>
  <si>
    <t xml:space="preserve">1) абз. 1 п. 5 ст. 19;  2) п. 3 </t>
  </si>
  <si>
    <t>1) 06.10.2003 не установлена;   2) 19.05.2006 не установлена</t>
  </si>
  <si>
    <t>﻿Закон Пермского края от 03.02.2008 № 188-ПК "Об утверждении Методики распределения субвенций между бюджетами поселений и городских округов Пермского края на осуществление полномочий по первичному воинскому учету на территориях, где отсутствуют военные комиссариаты"</t>
  </si>
  <si>
    <t>18.02.2008 не установлена</t>
  </si>
  <si>
    <t>1) ст. 3; 2) в целом</t>
  </si>
  <si>
    <t xml:space="preserve">1) Федеральный закон 131-ФЗ от 06.10.2003 "Об общих принципах организации местного самоуправления  в РФ";    2) Федеральный закон 273-ФЗ от 29.12.2012 "Об образовании в РФ";    </t>
  </si>
  <si>
    <t>1) абз. 1 п. 5 ст. 19;   2) ст. 9</t>
  </si>
  <si>
    <t>1) Закон Пермского края от 05.02.2016 № 602-ПК «Об организациии обеспечении отдыха детей и их оздоровления в Пермском крае»;                                   2) Закон Пермского края от 02.04.2010 № 607-ПК «О передаче органам местного самоуправления отдельных государственных полномочий по организации оздоровления и отдыха детей»</t>
  </si>
  <si>
    <t>1) Федеральный закон 131-ФЗ от 06.10.2003 "Об общих принципах организации местного самоуправления  в РФ";    2) Федеральный закон от 24.07.1998 №124-ФЗ "Об основных гарантиях прав ребенка в Российской Федерации"</t>
  </si>
  <si>
    <t>10/04</t>
  </si>
  <si>
    <t xml:space="preserve"> 10/04 10/06</t>
  </si>
  <si>
    <t>1) 01.01.2005 - 31.12.2019;                       2) 01.01.2008 - не установлена</t>
  </si>
  <si>
    <t>1) ст. 4; 2) в целом</t>
  </si>
  <si>
    <t>1) пп. 24 п. 1 ст. 16;                                                                                                                                                                     2) ст. 8 гл. 2;                3) ст. 7</t>
  </si>
  <si>
    <t>﻿Постановление Правительства ПК от 08.06.2018 № 309-п "Об утверждении Порядка накопления твердых коммунальных отходов (в том числе их раздельного накопления) на территории Пермского края"</t>
  </si>
  <si>
    <t>п. 2.8, 2.9</t>
  </si>
  <si>
    <t>1)пп. 10 п. 1 ст. 16; 2) абз. 3 ст. 10</t>
  </si>
  <si>
    <t>1) 06.10.2003 не установлена; 2) 05.01.1995 не установлена</t>
  </si>
  <si>
    <t>03/10</t>
  </si>
  <si>
    <t>1) в целом;</t>
  </si>
  <si>
    <t>0310</t>
  </si>
  <si>
    <t>УДХ и КС</t>
  </si>
  <si>
    <t>0501</t>
  </si>
  <si>
    <t>0503</t>
  </si>
  <si>
    <t>0505</t>
  </si>
  <si>
    <t>ЕЦБ</t>
  </si>
  <si>
    <t>1) РД от 12.11.2019 № 32 "О муниципальном дорожном фонде Юсьвинского муниципального округа ПК"</t>
  </si>
  <si>
    <t>05/01 10/03</t>
  </si>
  <si>
    <t>01/04 01/06 07/09 08/04</t>
  </si>
  <si>
    <t>2515</t>
  </si>
  <si>
    <t>2521</t>
  </si>
  <si>
    <t>11</t>
  </si>
  <si>
    <t>Дума Юсьвинского муниципального округа Пермского края</t>
  </si>
  <si>
    <t>1) Федеральный закон 131-ФЗ от 06.10.2003 "Об общих принципах организации местного самоуправления  в РФ";                                                        2) ﻿Федеральный закон от 02.03.2007 № 25-ФЗ "О муниципальной службе в Российской Федерации"</t>
  </si>
  <si>
    <t>1) пп. 1 п. 1 ст. 16;  2) ст. 34</t>
  </si>
  <si>
    <t>1) Федеральный закон 131-ФЗ от 06.10.2003 "Об общих принципах организации местного самоуправления  в РФ";                                                       2) Федеральный закон от 27.07.2010 № 190-ФЗ "О теплоснабжении"</t>
  </si>
  <si>
    <t>1) пп. 4 п. 1 ст. 16;  2) ст. 6</t>
  </si>
  <si>
    <t>1) 06.10.2003 не установлена; 2) 30.07.2010 не установлена</t>
  </si>
  <si>
    <t>1) пп. 5 п. 1 ст. 16;   2) ст. 13, 34</t>
  </si>
  <si>
    <t>1) 06.10.2003 не установлена; 2) 14.11.2007 не установлена</t>
  </si>
  <si>
    <t>1) 14.11.2019 не установлена;</t>
  </si>
  <si>
    <t>1) Федеральный закон 131-ФЗ от 06.10.2003 "Об общих принципах организации местного самоуправления  в РФ";                                                         2) ФЗ от  06.03.2006  № 35-ФЗ "О противодействии терроризму";                   3) ФЗ от 25.07.2002 № 114-ФЗ "О противодействии экстремистской деятельности"</t>
  </si>
  <si>
    <t>1) пп. 7.1 п. 1 ст. 16; 2) п. 2 ст. 5.1;            3) ст. 5</t>
  </si>
  <si>
    <t>1) 06.10.2003 не установлена; 2) 10.03.2006 не установлена; 3) 10.08.2002 не установлена</t>
  </si>
  <si>
    <t>1) Федеральный закон 131-ФЗ от 06.10.2003 "Об общих принципах организации местного самоуправления  в РФ";                                                       2) ﻿Федеральный закон от 21.12.1994 N 69-ФЗ "О пожарной безопасности"</t>
  </si>
  <si>
    <t xml:space="preserve">1) 06.10.2003 не установлена;                                                                                                  2) 12.01.2002 не установлена;             </t>
  </si>
  <si>
    <t>1) 18.09.2009 не установлена</t>
  </si>
  <si>
    <t xml:space="preserve">1) 06.10.2003 не установлена;                                                                                                  2) 30.12.2012 не установлена;             </t>
  </si>
  <si>
    <t>07/03 07/09</t>
  </si>
  <si>
    <r>
      <t>1) пп. 14 п. 1 ст. 16;                                                                                                                                                                     2) ст. 17, ст. 82</t>
    </r>
    <r>
      <rPr>
        <sz val="9"/>
        <color indexed="10"/>
        <rFont val="Times New Roman"/>
        <family val="1"/>
        <charset val="204"/>
      </rPr>
      <t xml:space="preserve">;  </t>
    </r>
    <r>
      <rPr>
        <sz val="9"/>
        <rFont val="Times New Roman"/>
        <family val="1"/>
        <charset val="204"/>
      </rPr>
      <t xml:space="preserve">              </t>
    </r>
  </si>
  <si>
    <t>19.09.2017 не установлена</t>
  </si>
  <si>
    <t xml:space="preserve">01/13 </t>
  </si>
  <si>
    <t>1) Федеральный закон 131-ФЗ от 06.10.2003 "Об общих принципах организации местного самоуправления  в РФ";                                                          2) Федеральный закон от 29.12.1994 № 78-ФЗ "О библиотечном деле"</t>
  </si>
  <si>
    <r>
      <t>1)</t>
    </r>
    <r>
      <rPr>
        <sz val="9"/>
        <color indexed="10"/>
        <rFont val="Times New Roman"/>
        <family val="1"/>
        <charset val="204"/>
      </rPr>
      <t xml:space="preserve"> </t>
    </r>
    <r>
      <rPr>
        <sz val="9"/>
        <rFont val="Times New Roman"/>
        <family val="1"/>
        <charset val="204"/>
      </rPr>
      <t>24.03.2008 не установлена</t>
    </r>
  </si>
  <si>
    <t>1) Федеральный закон 131-ФЗ от 06.10.2003 "Об общих принципах организации местного самоуправления  в РФ";                                                     2) Закон РФ от 09.10.1992 № 3612-1 "Основы законодательства РФ о культуре"</t>
  </si>
  <si>
    <t>1) 06.10.2003 не установлена;                     2) 17.11.1992 не установлена</t>
  </si>
  <si>
    <t xml:space="preserve">1) Закон Пермского края от 27.08.2018 N 263-ПК  "О государственной политике в сфере культуры Пермского края" </t>
  </si>
  <si>
    <t>1) ст. 7</t>
  </si>
  <si>
    <t>1) 09.09.2018 не установлена</t>
  </si>
  <si>
    <t xml:space="preserve">1) Федеральный закон 131-ФЗ от 06.10.2003 "Об общих принципах организации местного самоуправления  в РФ";                                                        2) Федеральный закон от 04.12.2007 № 329-ФЗ "О физической культуре и спорте в Российской Федерации" </t>
  </si>
  <si>
    <t>1) пп. 19 п. 1 ст. 16;                         2) ст. 9, ч.4 ст.38</t>
  </si>
  <si>
    <t xml:space="preserve">1) 1) Федеральный закон 131-ФЗ от 06.10.2003 "Об общих принципах организации местного самоуправления  в РФ";                                                           2) Федеральный закон от 22.10.2004 №125-ФЗ "Об архивном деле в Российской Федерации" </t>
  </si>
  <si>
    <t>1) пп. 22 п. 1 ст. 16;                         2) п. 3, 4 ст. 4, ст.8</t>
  </si>
  <si>
    <t>1) 06.10.2003 не установлена;                     2) 27.10.2004 не установлена</t>
  </si>
  <si>
    <t xml:space="preserve">Закон Пермского края от 10.04.2018 N 210-ПК "Об архивном деле в Пермском крае" </t>
  </si>
  <si>
    <t>24.04.2018 не установлена</t>
  </si>
  <si>
    <t>1) 06.10.2003 не установлена;                                                                                                  2) 30.06.1998 не установлена;             3) 12.01.2002 не установлена</t>
  </si>
  <si>
    <t>24.06.2018 не установлена</t>
  </si>
  <si>
    <t>30.09.2011 не установлена</t>
  </si>
  <si>
    <t>29.05.2008 не установлена</t>
  </si>
  <si>
    <t>1) Федеральный закон 131-ФЗ от 06.10.2003 "Об общих принципах организации местного самоуправления  в РФ";                                                        2) Федеральный закон от 12.02.1998 № 28-ФЗ "О гражданской обороне"                                         3) Федеральный закон от 21.12.1994 № 68-ФЗ "О защите населения и территорий от чрезвычайных ситуаций природного и техногенного характера";</t>
  </si>
  <si>
    <t>1) пп. 28 п. 1 ст. 16;                         2) ч. 2 ст. 8, ч.3 ст.18;                                      3) ч.2 ст. 11</t>
  </si>
  <si>
    <t>1) 06.10.2003 не установлена;                     2) 19.02.1998 не установлена;                            3) 24.12.1994 не установлена</t>
  </si>
  <si>
    <t xml:space="preserve">п. 6.2 </t>
  </si>
  <si>
    <t xml:space="preserve">1) Федеральный закон 131-ФЗ от 06.10.2003 "Об общих принципах организации местного самоуправления  в РФ";                                                    2) Федеральный закон от 29.12.2006 № 264-ФЗ "О развитии сельского хозяйства" ; </t>
  </si>
  <si>
    <t xml:space="preserve">1) 06.10.2003 не установлена;                     2) 11.01.2007 не установлена;                  </t>
  </si>
  <si>
    <t>1) Федеральный закон 131-ФЗ от 06.10.2003 "Об общих принципах организации местного самоуправления  в РФ"; 2) Федеральный закон от 24.07.2007 № 209-ФЗ "О развитии малого и среднего предпринимательства в РФ"</t>
  </si>
  <si>
    <t>1) пп. 33 п. 1 ст. 16; 2) ст. 11, ч.1 ст.17</t>
  </si>
  <si>
    <t>1) 06.10.2003 не установлена;   2) 24.10.2007 не установлена</t>
  </si>
  <si>
    <t>1) 20.03.2009 не установлена</t>
  </si>
  <si>
    <t xml:space="preserve">1) Федеральный закон 131-ФЗ от 06.10.2003 "Об общих принципах организации местного самоуправления  в РФ";                                                    2) ﻿Федеральный закон от 02.04.2014 № 44-ФЗ "Об участии граждан в охране общественного порядка"                                 </t>
  </si>
  <si>
    <t>1) пп. 37 п. 1 ст. 16;   2) п.2 ст.6, ч.2 ст.21</t>
  </si>
  <si>
    <t>1) 06.10.2003 не установлена;    2) 02.07.2014 не установлена</t>
  </si>
  <si>
    <t>1) ﻿Закон ПК от 09.07.2015 № 511-ПК "Об отдельных вопросах участия граждан в охране общественного порядка на территории Пермского края";                                          2) ﻿Постановление Правительства ПК от 18.10.2017 № 870-п "Об утверждении Порядка предоставления и расходования субсидий из бюджета Пермского края бюджетам городских (сельских) поселений и городских округов Пермского края на выплату материального стимулирования народным дружинникам за участие в мероприятиях по охране общественного порядка"</t>
  </si>
  <si>
    <t>1) 21.07.2015 не установлена; 2) 04.11.2017 не установлена</t>
  </si>
  <si>
    <t>1) Федеральный закон 131-ФЗ от 06.10.2003 "Об общих принципах организации местного самоуправления  в РФ";                                                     2) ﻿Федеральный закон от 02.03.2007 № 25-ФЗ "О муниципальной службе в Российской Федерации"</t>
  </si>
  <si>
    <t xml:space="preserve">1) 25.05.2008 не установлена; </t>
  </si>
  <si>
    <t>1) Закон ПК от 09.12.2009 № 545-ПК "О пенсии за выслугу лет лицам, замещавшим должности государственной гражданской и муниципальной службы Пермской области, Коми-Пермяцкого автономного округа, Пермского края"; 2)Закон Пермского края от 09.12.2009 N 546-ПК  "О пенсии за выслугу лет лицам, замещавшим государственные должности Пермской области, Коми-Пермяцкого автономного округа, Пермского края и муниципальные должности в муниципальных образованиях Пермской области, Коми-Пермяцкого автономного округа, Пермского края".</t>
  </si>
  <si>
    <t>1)в целом 2)в целом</t>
  </si>
  <si>
    <t>31.03.2007 не установлена</t>
  </si>
  <si>
    <t>17.04.2014 - не установлена</t>
  </si>
  <si>
    <t>1) 06.10.2003 не установлена;  2) 01.01.2003 не установлена; 3) 02.01.2003 не установлена</t>
  </si>
  <si>
    <t xml:space="preserve">1) Закон ПК от 09.07.2007 № 74-ПК "О наделении органов местного самоуправления муниципальных районов и городских округов государственными полномочиями по хранению, комплектованию, учету и использованию архивных документов государственной части документов архивного фонда Пермского края";                                 2) ﻿Закон ПК от 07.06.2013 N 209-ПК "О передаче органам местного самоуправления Пермского края отдельных государственных полномочий по поддержке сельскохозяйственного производства";                 3) Закон Пермского края от 18.12.2007 №159-ПК "О наделении органов местного самоуправления муниципальных районов и городских округов Пермского края государственными полномочиями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                   4) Постановление Правительства Пермского края от 21.12.2007 №357-п "Об утверждении Порядка передачи и расходования субвенций, предоставляемых из бюджета Пермского края бюджетам муниципальных районов и городских округов Пермского края для осуществления государственных полномочий Пермского края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 </t>
  </si>
  <si>
    <t>1) 06.10.2003 не установлена;                           2) 11.01.2007 не установлена</t>
  </si>
  <si>
    <t>1) 28.06.2013 не установлена; 2) 28.07.2013 не установлена</t>
  </si>
  <si>
    <t xml:space="preserve">1) 06.10.2003 не установлена; </t>
  </si>
  <si>
    <t>1) абз. 1 п. 5 ст. 19;                     2) в целом;                     3) п.12 ст.23.2</t>
  </si>
  <si>
    <t>1) 06.10.2003 не установлена;                         2) 07.05.2008 - не установлена;                        3) 25.01.1995 - не установлена</t>
  </si>
  <si>
    <t>1) 06.10.2003 не установлена;   2) 30.06.1999 не установлена</t>
  </si>
  <si>
    <t>1) 01.01.2011 - не установлена; 2) 02.01.2007 не установлена; 3) 20.05.2011 не установлена; 4) 01.01.2016 не установлена</t>
  </si>
  <si>
    <t xml:space="preserve">1) Постановление администрации ЮМР от 14.10.2016 № 313 "Об утверждении Положения об административной комиссии Юсьвинского муниципального района"; 2)  Постановление администрации ЮМР от 04.04.2014 № 162 "О принятии расходных обязательств по исполнению переданных государственны полномочий по образованию комиссий по делам несовершеннолетних и защите их прав и организации их деятельности"
</t>
  </si>
  <si>
    <t>1) 20.10.2016 не установлена; 2) 10.04.2014 не установлена</t>
  </si>
  <si>
    <t>1) абз. 1 п. 5 ст. 19;   2) п.3 ст. 12.1</t>
  </si>
  <si>
    <t>1) 06.10.2003 не установлена;   2) 05.08.1998, не установлена</t>
  </si>
  <si>
    <t>1) 21.02.2016 - не установлена;                    2) 20.04.2010 - не установлена</t>
  </si>
  <si>
    <t>1) абз. 1 п. 5 ст. 19;   2) ч.5 ст. 2</t>
  </si>
  <si>
    <t>1) 06.10.2003 не установлена;   2) 14.07.2015 - не установлена</t>
  </si>
  <si>
    <t xml:space="preserve">Закон Пермского края от 17.10.2006 N 20-КЗ "О передаче органам местного самоуправления Пермского края государственных полномочий по регулированию тарифов на перевозки пассажиров и багажа автомобильным и городским наземным электрическим транспортом на муниципальных маршрутах регулярных перевозок" </t>
  </si>
  <si>
    <t>22.05.2014 - не установлена</t>
  </si>
  <si>
    <t>1) 06.10.2003 не установлена;   2) 30.12.2012 не установлена</t>
  </si>
  <si>
    <t>Администрация Юсьвинского муниципального округа Пермского края</t>
  </si>
  <si>
    <t>принятие устава муниципального образования и внесение в него изменений и дополнений, издание муниципальных правовых актов</t>
  </si>
  <si>
    <t>070</t>
  </si>
  <si>
    <t>Руководитель                                                                                                                             Л.И.Боталова</t>
  </si>
  <si>
    <t xml:space="preserve">01/06 </t>
  </si>
  <si>
    <t xml:space="preserve">1) Закон ПК от 04.05.2008 № 228-ПК "О муниципальной службе в Пермском крае";  </t>
  </si>
  <si>
    <t>1) 25.05.2008 не установлена;</t>
  </si>
  <si>
    <t>1) Федеральный закон 131-ФЗ от 06.10.2003 "Об общих принципах организации местного самоуправления  в РФ";</t>
  </si>
  <si>
    <t>1) пп. 3 п. 1 ст. 16;</t>
  </si>
  <si>
    <t>05/03 05/05</t>
  </si>
  <si>
    <t>Постановление администрации ЮМО от 21.02.2020 № 73 "Об установлении расходных обязательств Юсьвинского муниципального округа Пермского края по исполнению управлением образования администрации Юсьвинского муниципального округа Пермского края переданных государственных полномочий по выплате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</si>
  <si>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04.03.2020 не установлена</t>
  </si>
  <si>
    <t>Постановление администрации ЮМО от 21.02.2020 № 73/1 "Об установлении расходных обязательств Юсьвинского муниципального округа Пермского края по исполнению управлением образования администрации Юсьвинского муниципального округа Пермского края переданных государственных полномочий по организации и обеспечению отдыха детей и их оздоровления"</t>
  </si>
  <si>
    <t>1) Постановление администрации ЮМО от 21.02.2020 № 73/2 "Об установлении  расходных обязательств Юсьвинского муниципального округа Пермского края по исполнению управлением образования администрации Юсьвинского муниципального округа Пермского края переданных государственных полномочий единой субвенции на выполнение отдельных государственных полномочий в сфере образования"; 2) Постановление администрации ЮМО от 21.02.2020 № 73/3 "Об установлении расходных обязательств Юсьвинского муниципального округа Пермского края по исполнению управлением образования администрации Юсьвинского муниципального округа Пермского края переданных государственных полномочий по предоставлению мер социальной поддержки руководителям и педагогическим работникам образовательных организаций"</t>
  </si>
  <si>
    <t>1) 04.03.2020 не установлена; 2) 04.03.2020 не установлена</t>
  </si>
  <si>
    <t>1) Закон Пермского края от 12.03.2014 № 308-ПК "Об образовании в Пермском крае"; 2) Закон ПК от 14.11.2008 № 339-ПК "О наделении органов местного самоуправления Пермского края государственными полномочиями Пермского края по предоставлению мер социальной поддержки руководителям и педагогическим работникам образовательных организаций" ; 3) Постановление Правительства Пермского края от 30.05.2018 № 294-п "Об утверждении Порядка предоставления и расходования субвенции из бюджета Пермского края бюджетам муниципальных районов (городских округов) Пермского края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а также дополнительного образования в муниципальных общеобразовательных организациях"; 4) Постановление Правительства Пермского края от 20.12.2017 N 1014-п "Об утверждении Порядка предоставления и расходования единой субвенции на выполнение отдельных государственных полномочий в сфере образования из бюджета Пермского края бюджетам муниципальных районов и городских округов Пермского края"</t>
  </si>
  <si>
    <t>1) ст.5; 2) ст. 8; 3)раздел 2; 4) раздел 2</t>
  </si>
  <si>
    <t>1) 28.03.2014 не установлена; 2) 02.12.2008 не установлена; 3) 12.06.2018 не установлена; 4) 20.12.2017 не установлена</t>
  </si>
  <si>
    <t>ст. 14</t>
  </si>
  <si>
    <t>01/13 03/09 03/14</t>
  </si>
  <si>
    <t>05/03</t>
  </si>
  <si>
    <t>1) Закон Пермского края от 05.02.2016 N 602-ПК "Об организации и обеспечении отдыха детей и их оздоровления в Пермском крае"; 2) Закон Пермского края от 02.04.2010 N 607-ПК "О передаче органам местного самоуправления отдельных государственных полномочий по организации и обеспечению отдыха детей и их оздоровления"</t>
  </si>
  <si>
    <t>1) ст. 8; 2) ст. 7</t>
  </si>
  <si>
    <t>1) 21.02.2016 - не установлена; 2) 20.04.2010 - не установлена</t>
  </si>
  <si>
    <t>1) Постановление администрации ЮМР от 17.01.2020 № 13 "Об утверждении Положения об обеспечении первичных мер пожарной безопасности на территории  Юсьвинского муниципального округа Пермского края"; 2) Постановление администрации ЮМО от 06.05.2020 № 196 "Об утверждении Положения об условиях ипорядке осуществления материального стимулирования деятельности добровольных пожарных на территории ЮМО ПК"</t>
  </si>
  <si>
    <t>1) п. 5; 2) п. 1.3</t>
  </si>
  <si>
    <t>1) 29.01.2020 не установлена; 2) 14.05.2020 не установлена</t>
  </si>
  <si>
    <t>﻿1) Закон Пермского края от 24.11.2006 N 31-КЗ "Об обеспечении пожарной безопасности в Пермском крае"; 2) Закон ПК от 30.09.2011 N 827-ПК "О добровольной пожарной охране в Пермском крае"</t>
  </si>
  <si>
    <t>1) ст. 8; 2) ст. 8</t>
  </si>
  <si>
    <t>1) 01.01.2007 не установлена; 2) 21.10.2011 не установлена</t>
  </si>
  <si>
    <t>п. 1.5</t>
  </si>
  <si>
    <t xml:space="preserve">1) Закон ПК от 04.05.2008 № 228-ПК "О муниципальной службе в Пермском крае";
</t>
  </si>
  <si>
    <t>1) Закон ПК от 04.05.2008 № 228-ПК "О муниципальной службе в Пермском крае";</t>
  </si>
  <si>
    <t>1) РД от 27.12.2019 № 84 "Об утверждении Положения о пенсии за выслугу лет лицам, замещавшим выборные муниципальные должности в органах местного самоуправления Юсьвинского муниципального округа Пермского края"; 2)  РД от 27.12.2019 № 85 "Об утверждении Положения о пенсии за выслугу лет лицам, замещавшим должности муниципальной службы в муниципальном образовании Юсьвинский муниципальный округ Пермского края"</t>
  </si>
  <si>
    <t>1) 16.01.2020 не установлена; 2) 16.01.2020 не установлена</t>
  </si>
  <si>
    <t>п. 2.1</t>
  </si>
  <si>
    <t>02.06.2020 не установлена</t>
  </si>
  <si>
    <t>Соглашение о предоставлении субсидии и иных межбюджетных трансфертов, имеющих целевое назначение, из бюджета Пермского края бюджету муниципального образования Пермского края, источником предоставления которых являются средства бюджета Пермского края от 31.01.2020 № 436</t>
  </si>
  <si>
    <t>01.01.2020-31.12.2020</t>
  </si>
  <si>
    <t>Постановление Правительства ПК от 31.05.2019 N 374-п "Об утверждении Порядка предоставления и расходования субсидий из бюджета Пермского края бюджетам муниципальных районов, муниципальных и городских округов Пермского края на приведение в нормативное состояние муниципальных помещений, приобретение и установку модульных конструкций, используемых в целях профилактики правонарушений и обеспечения общественной безопасности"</t>
  </si>
  <si>
    <t>31.05.2019 не установлена</t>
  </si>
  <si>
    <t>п. 3.9</t>
  </si>
  <si>
    <t>Распоряжение администрации ЮМР от "Об утверждения Положения об архиве Юсьвинского муниципального округа Пермского края"</t>
  </si>
  <si>
    <t>01.01.2020 не установлена</t>
  </si>
  <si>
    <t>1) пп. 1 п. 1 ст. 17; 2) ст. 34</t>
  </si>
  <si>
    <t>2.2.6. принятие устава муниципального образования и внесение в него изменений и дополнений, издание муниципальных правовых актов</t>
  </si>
  <si>
    <t>1) ст. 15 2) ст. 14</t>
  </si>
  <si>
    <t xml:space="preserve">1) 24.12.2009 не установлена; 2) 24.12.2009 не установлена </t>
  </si>
  <si>
    <t>1) Закон ПК от 04.05.2008 № 228-ПК "О муниципальной службе в Пермском крае"; 2) Закон Пермского края от 10.05.2011 N 767-ПК "О гарантиях осуществления полномочий депутата, члена выборного органа местного самоуправления, выборного должностного лица местного самоуправления в Пермском крае"</t>
  </si>
  <si>
    <t>1) в целом; 2) ст. 10</t>
  </si>
  <si>
    <t>1) 25.05.2008 не установлена; 2) 27.05.2011 не установлена</t>
  </si>
  <si>
    <t>01/02 01/03</t>
  </si>
  <si>
    <t>Соглашения о предоставлении, расходовании и возврате субвенций, передаваемых из бюджета Пермского края бюджетам муниципальных образований Пермского края для выполнения федеральных полномочий на государственную регистрацию актов гражданского состояния от 09.01.2020 № 46</t>
  </si>
  <si>
    <t>01.01.2020 - не установлена</t>
  </si>
  <si>
    <t>1) 14.11.2019 не установлена; 2) 16.01.2020 не установлена;</t>
  </si>
  <si>
    <t>1) п. 1.6; 2) в целом</t>
  </si>
  <si>
    <t>1) Закон ПК от 01.12.2011 № 871-ПК "О бесплатном предоставлении земельных участков в Пермском крае"; 2) Постановление Правительства ПК от 05.12.2017 № 990-п "Об утверждении Порядка предоставления и расходования субсидий из бюджета Пермского края бюджетам муниципальных районов и городских округов Пермского края на проведение комплексных кадастровых работ"</t>
  </si>
  <si>
    <t>1) 10.12.2011 не установлена; 2) 01.01.2018 не установлена</t>
  </si>
  <si>
    <t>1) Постановление администрации ЮМО от 21.02.2020 № 73/2 "Об установлении  расходных обязательств Юсьвинского муниципального округа Пермского края по исполнению управлением образования администрации Юсьвинского муниципального округа Пермского края переданных государственных полномочий единой субвенции на выполнение отдельных государственных полномочий в сфере образования"; 2) Постановление администрации ЮМО от 21.02.2020 № 73/3 "Об установлении расходных обязательств Юсьвинского муниципального округа Пермского края по исполнению управлением образования администрации Юсьвинского муниципального округа Пермского края переданных государственных полномочий по предоставлению мер социальной поддержки руководителям и педагогическим работникам образовательных организаций"; 3) Постановление администрации ЮМО от 18.08.2020 № 407 "О выплатах ежемесячного денежного вознаграждения за классное руководство педагогическим работникам муниципальных образовательных учреждений Юсьвинского муниципального округа Пермского края,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счет средств федерального бюджета"</t>
  </si>
  <si>
    <t>1) 04.03.2020 не установлена; 2) 04.03.2020 не установлена; 3) 26.08.2020 не установлена</t>
  </si>
  <si>
    <t xml:space="preserve"> 1) РД от 12.11.2019 № 36 "Об утверждении Положения о денежном содержании муниципальных служащих Юсьвинского муниципального округа ПК"; 2) РД от 27.12.2019 № 88 "О ликвидации Контрольно- счетной палаты Юсьвинского муниципального района   как юридического лица"</t>
  </si>
  <si>
    <t>01/13 07/01 07/02 10/03</t>
  </si>
  <si>
    <t>01/13 08/01 08/04</t>
  </si>
  <si>
    <t>01/13 03/09 04/12</t>
  </si>
  <si>
    <t xml:space="preserve">01/13 07/01 </t>
  </si>
  <si>
    <t xml:space="preserve"> Постановление Правительства ПК от 20.05.2020 № 349-п "Об утверждении Порядка предоставления и расходования субсидий из бюджета Пермского края бюджетам муниципальных образований Пермского края на проведение комплексных кадастровых работ, Порядка предоставления и расходования субсидий из бюджета Пермского края бюджетам муниципальных образований Пермского края на разработку проектов межевания территории и проведение комплексных кадастровых работ"</t>
  </si>
  <si>
    <t>1) Закон ПК от 28.02.2018 N 191-ПК "О финансовом обеспечении в связи с отдельными видами преобразования муниципальных образований в Пермском крае"; 2) Постановление Правительства ПК от 31.12.2019 N 1064-п "Об утверждении порядков предоставления государственной поддержки, направленной на комплексное развитие сельских территорий в Пермском крае"; 3) Постановление Правительства ПК от 21.11.2018 № 718-п "Об утверждении Порядка предоставления субсидий бюджетам преобразованных муниципальных образований из бюджета Пермского края на реализацию муниципальных программ (мероприятий в рамках муниципальных программ) по развитию преобразованных муниципальных образований и Методики расчета объема субсидий бюджетам преобразованных муниципальных образований из бюджета Пермского края на реализацию муниципальных программ (мероприятий в рамках муниципальных программ) по развитию преобразованных муниципальных образований"; 4) Постановление Правительства ПК от 30.04.2020 № 270-п "О внесении изменений в Постановление Правительства Пермского края от 3 октября 2013 г. N 1331-п "Об утверждении государственной программы Пермского края "Градостроительная и жилищная политика, создание условий для комфортной городской среды" и о признании утратившими силу отдельных постановлений Правительства Пермского края"</t>
  </si>
  <si>
    <t>1) ст. 2.1; 2) раздел 6 п.6; 3) в целом; 4) раздел 2</t>
  </si>
  <si>
    <t>1) 13.03.2018 не установлена; 2) 31.12.2019 не установлена; 3) 21.11.2018 не установлена; 4) 16.05.2020 не установлена</t>
  </si>
  <si>
    <t>Реестр расходных обязательств Юсьвинского муниципального округа Пермского края</t>
  </si>
  <si>
    <t>1) Закон Пермской области от 20.07.1995 № 288-50 "О физической культуре и спорте"; 2) Постановление Правительства ПК от 14.03.2018 N 108-п "Об утверждении Порядка предоставления субсидий из бюджета Пермского края бюджетам муниципальных образований Пермского края на софинансирование мероприятий по устройству спортивных площадок и оснащению объектов спортивным оборудованием и инвентарем для занятий физической культурой и спортом"; 3) Постановление Правительства ПК от 05.12.2017 № 970-п "Об утверждении Порядка предоставления субсидий из бюджета Пермского края бюджетам муниципальных образований Пермского края на реализацию мероприятия "Мы выбираем спорт!"</t>
  </si>
  <si>
    <t>1) в целом; 2) п. 5; 3) в целом</t>
  </si>
  <si>
    <t>1) 16.08.1995 не установлена; 2) 18.03.2018 не установлена; 3) 12.12.2017 не установлена</t>
  </si>
  <si>
    <t>2.4.1.31.Проведение Всероссийской переписи населения 2020 года</t>
  </si>
  <si>
    <t>1) Федеральный закон 131-ФЗ от 06.10.2003 "Об общих принципах организации местного самоуправления  в РФ"; 2) Федеральный закон от 25.01.2002 N 8-ФЗ "О Всероссийской переписи населения"</t>
  </si>
  <si>
    <t>1) абз. 1 п. 5 ст. 19;  2) п. 5,6 ст. 5</t>
  </si>
  <si>
    <t>1) 08.10.2003 не установлена; 2) 22.01.2002 не установлена</t>
  </si>
  <si>
    <t>1) Закон ПК от 30.03.2020 N 524-ПК "О наделении органов местного самоуправления Пермского края отдельными государственными полномочиями по подготовке и проведению Всероссийской переписи населения 2020 года"; 2) Постановление ППК от 02.07.2020 № 476-п "Об утверждении Порядка предоставления субвенций из бюджета Пермского края бюджетам муниципальных районов, городских и муниципальных округов Пермского края для осуществления органами местного самоуправления отдельных государственных полномочий по подготовке и проведению Всероссийской переписи населения 2020 года"</t>
  </si>
  <si>
    <t>1) ст. 6; 2) п. 2</t>
  </si>
  <si>
    <t>1) 31.03.2020 не установлена; 2) 06.07.2020 не установлена</t>
  </si>
  <si>
    <t>Текущий финансовый год (2022)</t>
  </si>
  <si>
    <t xml:space="preserve">1) РД от 19.03.2020 № 154 "Об утверждении Положения о порядке управления и распоряжения имуществом, находящимся в муниципальной собственности Юсьвинского муниципального округа Пермского края"; 2) Постановление администрации ЮМО от 25.03.2020 № 66 "О мерах по реализации Закона Пермского края от 01.12.2011 №871-ПК «О бесплатном предоставлении земельных участков многодетным семьям в Пермском крае»; </t>
  </si>
  <si>
    <t xml:space="preserve">1) п. 15; 2) в целом; </t>
  </si>
  <si>
    <t>1) 25.03.2020 не установлена; 2) 02.04.2020 не установлена;</t>
  </si>
  <si>
    <t xml:space="preserve"> 04/12</t>
  </si>
  <si>
    <t>1) Постановление АЮМО от 09.04.2020 № 109 " Об установлении РО ЮМО ПК по устранению аварий на коммунальных системах ЮМО ПК"; 2) Постановление администрации ЮМО от 19.04.2021 № 214 "Об утверждении Порядка предоставления субсидий юридическим лицам (за исключением субсидий муниципальным учреждениям), индивидуальным предпринимателям, оказывающим услуги  по холодному водоснабжению и водоотведению на территории Юсьвинского муниципального округа Пермского края"; 3) Приказ ФУ от 29.10.2021 № 57-бп "Об утверждении Методики планирования бюджетных ассигнований Юсьвинского муниципального округа Пермского края"</t>
  </si>
  <si>
    <t>1) в целом; 2) в целом; 3) 3.15</t>
  </si>
  <si>
    <t>1) 15.04.2020 не установлена; 2) 28.04.2021 не установлена; 3) 01.01.2022 не установлена</t>
  </si>
  <si>
    <t>05/02</t>
  </si>
  <si>
    <t>1) Cоглашение о предоставлении субсидии из бюджета субъекта Российской Федерации местному бюджету от 25.01.2021 № 57560000-1-2021-005; 2) Соглашение о предоставлении субсидии и иных межбюджетных трансфертов, имеющих целевое назначение, из бюджета Пермского края бюджету муниципального образования Пермского края, источником предоставления которых являются средства бюджета Пермского края от 01.01.2020 № 56; 3)Постановление администрации ЮМР от 05.02.2020 № 52 "Об утверждении Порядка предоставления и расходования субсидий из бюджета Пермского края, в том числе за счет средств федерального бюджета бюджету Юсьвинского муниципального округа Пермского края на реализацию мероприятий по улучшению жилищных условий граждан, проживающих на сельской территории"; 4) Постановление администрации ЮМО от 29.04.2020 № 190 "Об утверждении Порядка  возмещения затрат, понесенных нанимателем в связи с проведенным капитальным ремонтом нанимаемого жилого помещения"; 5) Постановление администрации ЮМО от 25.08.2021 № 428 "Об утверждении Порядка проведения и финансирования капитального ремонта муниципального жилищного фонда за счет средств бюджета Юсьвинского муниципального округа Пермского края"; 6) РД от 24.12.2020 № 255 " Об утверждении Положения о порядке предоставления жилых помещений маневренного фонда Юсьвинского муниципального округа Пермского края"</t>
  </si>
  <si>
    <t>1) п. 2; 2) п.1.2; 3) п. 1.5, 1.6; 4) в целом; 5) п. 4; 6) п. 3</t>
  </si>
  <si>
    <t>1) 01.01.2020-31.12.2022; 2) 01.01.2020-31.12.2022; 3) 12.02.2020 не установлена; 4) 06.05.2020 не установлена; 5) 01.09.2021 не установлена; 6) 30.12.2020 не установлена</t>
  </si>
  <si>
    <t>1) Решение ЗС от 02.09.2014 № 374 "Об утверждении Положения об организации пассажирских перевозок автомобильным транспортом общего пользования на маршрутах регулярных перевозок в границах Юсьвинского муниципального района"; 2)Постановление администрации ЮМР от 14.04.2017 № 113 "Об утверждении Порядка предоставления субсидий юридическим лицам и индивидуальным предпринимателям, осуществляющим пассажирские перевозки по маршрутам регулярных перевозок в границах Юсьвинского муниципального района, в  целях возмещения недополученных доходов и (или) финансового обеспечения (возмещения) затрат в связи с оказанием соответствующих услуг"; 3) Распоряжения администрации ЮМО от 03.09.2021 г. № 626-р "Об утверждении максимальной себестоимости 1 км пробега пассажирского транспортного средства"; 4) Постановления администрации ЮМО от 08.09.2020 г. № 451 "Об утверждении муниципальных маршрутов региональных перевозок на территории ЮМО"</t>
  </si>
  <si>
    <t>1) 04.09.2014 не установлена; 2) 20.04.2017 не установлена; 3) 05.11.2020 не установлена; 4) 16.09.2020 не установлена</t>
  </si>
  <si>
    <t xml:space="preserve">1) Постановление администрации ЮМР от 30.12.2020 № 697 "Об утверждении Порядка определения объема и условий предоставления из бюджета Юсьвинского муниципального округа Пермского края субсидий на иные цели в соответствии с абзацем вторым пункта 1 статьи 78.1 Бюджетного кодекса Российской Федерации"; 2) Распоряжение АЮМО от 09.10.2020 № 679-р "О реализации мероприятий по приведению в нормативное состояние помещений, приобретению и установке модульных конструкций, используемых в целях профилактики правонарушений и обеспечения общественной безопасности на территории Юсьвинского муниципального округа Пермского края в 2021 году"; </t>
  </si>
  <si>
    <t>1) в целом; 2) в целом;</t>
  </si>
  <si>
    <t>1)13.01.2021 не установлена; 2) 15.10.2020 не установлена;</t>
  </si>
  <si>
    <t>1) Постановление администрации ЮМО от 10.04.2020 № 119 "О порядке создания, хранения, использования и восполнения резерва материальных ресурсов  для ликвидации чрезвычайных ситуаций"; 2) Постановление администрации ЮМО от 07.10.2021 № 525/13 "Об утверждении муниципальной программы "Защита населения и территории Юсьвинского муниципального округа от чрезвычайных ситуаций, обеспечение пожарной безопасности и безопасности людей на водных объектах"</t>
  </si>
  <si>
    <t>1) п. 3; 2) в целом</t>
  </si>
  <si>
    <t>1) 16.04.2020 не установлена; 2) 20.10.2021 не установлена</t>
  </si>
  <si>
    <t xml:space="preserve"> 03/09</t>
  </si>
  <si>
    <t>1) Постановление администрации ЮМР от 30.12.2020 № 697 "Об утверждении Порядка определения объема и условий предоставления из бюджета Юсьвинского муниципального округа Пермского края субсидий на иные цели в соответствии с абзацем вторым пункта 1 статьи 78.1 Бюджетного кодекса Российской Федерации";</t>
  </si>
  <si>
    <t xml:space="preserve">1) 13.01.2021 не установлена; </t>
  </si>
  <si>
    <t>1) Постановление администрации ЮМР от 14.11.2019 № 479 "Об утверждении Порядка формирования муниципального задания на оказание муниципальных услуг (выполнение работ) в отношении муниципальных учреждений Юсьвинского муниципального округа и финансового обеспечения выполнения муниципального задания"; 2) Постановление администрации ЮМО от 08.09.2021 № 462 "Об утверждении плановых объемов муниципального задания на оказание муниципальных услуг (работ) на 2022 год и плановый период 2023-2024 годов"; 3) Постановление администрации ЮМО от 27.08.2021 № 437 " Об утверждении Положения о системе оплаты  труда работников муниципальных общеобразовательных учреждений Юсьвинского муниципального округа Пермского края"</t>
  </si>
  <si>
    <t>1) 21.11.2019 не установлена; 2) 15.09.2021 не установлена; 3) 08.09.2021 не установлена</t>
  </si>
  <si>
    <t>1) Постановление администрации ЮМР от 14.11.2019 № 479 "Об утверждении Порядка формирования муниципального задания на оказание муниципальных услуг (выполнение работ) в отношении муниципальных учреждений Юсьвинского муниципального округа и финансового обеспечения выполнения муниципального задания"; 2) Постановление администрации ЮМО от 18.08.2020 № 408 "Об организации бесплатного горячего питания обучающихся, получающих начальное общее образование в муниципальных образовательных учреждениях Юсьвинского муниципального округа Пермского края"; 3) Постановление администрации ЮМР от 23.01.2020 № 23 "Об утверждении Порядка осуществления  бюджетных инвестиций в форме капитальных вложений в объекты муниципальной собственности Юсьвинского муниципального округа Пермского края"; 4) Постановление АЮМО от 02.02.2021 № 46 "Об установлении нормативов на обеспечение муниципальными образовательными  учреждениями Юсьвинского муниципального округа Пермского края бесплатным  двухразовым питанием обучающихся с ограниченными возможностями здоровья на 2021 год"; 5) Постановление администрации ЮМО от 08.09.2021 № 462 "Об утверждении плановых объемов муниципального задания на оказание муниципальных услуг (работ) на 2022 год и плановый период 2023-2024 годов"; 6) Постановление администрации ЮМО от 27.08.2021 № 437 " Об утверждении Положения о системе оплаты  труда работников муниципальных общеобразовательных учреждений Юсьвинского муниципального округа Пермского края"</t>
  </si>
  <si>
    <t>1) 21.11.2019 не установлена; 2) 26.08.2020 не установлена; 3) 29.01.2020 не установлена; 4) 10.02.2021 не установлена; 5) 15.09.2021 не установлена; 6) 08.09.2021 не установлена</t>
  </si>
  <si>
    <t>01/13 07/02 10/03</t>
  </si>
  <si>
    <t>1) Постановление администрации ЮМР от 14.11.2019 № 479 "Об утверждении Порядка формирования муниципального задания на оказание муниципальных услуг (выполнение работ) в отношении муниципальных учреждений Юсьвинского муниципального округа и финансового обеспечения выполнения муниципального задания";    2)   Постановлением администрации ЮМР от 29.12.2017 г. № 456 "Положение о муниципальной службе примирения" ; 3) Постановление администрации ЮМО от 08.09.2021 № 462 "Об утверждении плановых объемов муниципального задания на оказание муниципальных услуг (работ) на 2022 год и плановый период 2023-2024 годов"; 4) Постановление администрации ЮМО от 27.08.2021 № 437 " Об утверждении Положения о системе оплаты  труда работников муниципальных общеобразовательных учреждений Юсьвинского муниципального округа Пермского края"</t>
  </si>
  <si>
    <t>1) 21.11.2019 не установлена; 2) 11.01.2017 не установлена; 3) 15.09.2021 не установлена; 4) 08.09.2021 не устновлена</t>
  </si>
  <si>
    <t>1) Постановление администрации ЮМР от 14.11.2019 № 479 "Об утверждении Порядка формирования муниципального задания на оказание муниципальных услуг (выполнение работ) в отношении муниципальных учреждений Юсьвинского муниципального округа и финансового обеспечения выполнения муниципального задания"; 2) Постановление администрации ЮМО от 15.03.2021 № 126 "Об организации отдыха,  оздоровления и занятости детей на территории Юсьвинского  муниципального округа Пермского края в 2021 году"; 3) Постановление администрации ЮМО от 17.06.2020 № 295 "Об утверждении Положения об организации отдыха, оздоровления и занятости детей и подростков в каникулярное время на территории Юсьвинского муниципального округа Пермского края"</t>
  </si>
  <si>
    <t>1) в целом; 2) п. 7; 3) п. 5</t>
  </si>
  <si>
    <t>1) 21.11.2019 не установлена; 2) 24.03.2021 не установлена; 3) 24.06.2020 не установлена</t>
  </si>
  <si>
    <t>1) Постановление администрации ЮМР от 14.11.2019 № 479 "Об утверждении Порядка формирования муниципального задания на оказание муниципальных услуг (выполнение работ) в отношении муниципальных учреждений Юсьвинского муниципального района и финансового обеспечения выполнения муниципального задания";                      2) РЗС от 22.05.2009 № 35 "Об утверждении Положения о порядке предоставления библиотечных услуг населению Юсьвинского муниципального района муниципальными библиотеками"; 3) Постановление администрации ЮМО от 08.09.2021 № 462 "Об утверждении плановых объемов муниципального задания на оказание муниципальных услуг (работ) на 2022 год и плановый период 2023-2024 годов"; 4) Постановление администрации ЮМР от 25.10.2019 № 437 "Об утверждении Положения об оплате труда работников муниципальных учреждений культуры Юсьвинского муниципального округа Пермского края"</t>
  </si>
  <si>
    <t>1) 21.11.2019 не установлен; 2) 28.05.2009 не установлен; 3) 15.09.2021 не установлена; 4) 25.10.2019 не установлена</t>
  </si>
  <si>
    <t>1) РД от 17.12.2019 № 66 "Об учреждении звания «Почетный гражданин Юсьвинского района"; 2)  Постановление администрации ЮМР от 14.11.2019 № 479 "Об утверждении Порядка формирования муниципального задания на оказание муниципальных услуг (выполнение работ) в отношении муниципальных учреждений Юсьвинского муниципального района и финансового обеспечения выполнения муниципального задания"; 3) Постановление администрации ЮМР от 30.12.2020 № 697 "Об утверждении Порядка определения объема и условий предоставления из бюджета Юсьвинского муниципального округа Пермского края субсидий на иные цели в соответствии с абзацем вторым пункта 1 статьи 78.1 Бюджетного кодекса Российской Федерации"; 4) Постановление администрации ЮМО от 08.09.2021 № 462 "Об утверждении плановых объемов муниципального задания на оказание муниципальных услуг (работ) на 2022 год и плановый период 2023-2024 годов"; 5) Постановление администрации ЮМР от 25.10.2019 № 437 "Об утверждении Положения об оплате труда работников муниципальных учреждений культуры Юсьвинского муниципального округа Пермского края"</t>
  </si>
  <si>
    <t>1) 18.12.2019 не установлена; 2) 21.11.2019 не установлен; 3) 13.01.2021 не установлен; 4) 15.09.2021 не установлена; 5) 25.10.2019 не установлена</t>
  </si>
  <si>
    <t>1) Постановление администрации ЮМО от 27.10.2020 № 541 "Об установлении расходного обязательства на реализацию мероприятия «Мы выбираем спорт!» на территории Юсьвинского муниципального округа Пермского края"; 2) Постановление администрации ЮМР от 25.10.2019 № 437 "Об утверждении Положения об оплате труда работников муниципальных учреждений культуры Юсьвинского муниципального округа Пермского края"</t>
  </si>
  <si>
    <t>1) 28.10.2020 не установлена; 2) 29.10.2019 не установлена</t>
  </si>
  <si>
    <t>1) Постановление администрации ЮМО от 07.10.2021 № 525/10 "О внесении изменений в муниципальную программу "Территориальное развитие Юсьвинского муниципального округа Пермского края"; 2) РД от 19.03.2020 № 150 "Об утверждении Правил благоустройства территории Юсьвинского муниципального округа Пермского края"</t>
  </si>
  <si>
    <t>1) в целом; 2) п. 12</t>
  </si>
  <si>
    <t>1) 20.10.2021-31.12.2025; 2) 25.03.2020 не установлена</t>
  </si>
  <si>
    <t>1) РД от 19.03.2020 № 151  "Об утверждении Положения о порядке организации и осуществления территориального общественного самоуправления в Юсьвинском муниципальном округе Пермского края"; 2) Постановление администрации ЮМО от 07.10.2021 № 525/10 "О внесении изменений в муниципальную программу "Территориальное развитие Юсьвинского муниципального округа Пермского края"; 3) Cоглашение о предоставлении субсидии из бюджета субъекта Российской Федерации
местному бюджету (Формирование комфогртной городской среды) от 20.01.2021 № 57560000-1-2021-003; 4) Cоглашение о предоставлении субсидии из бюджета субъекта Российской Федерации местному бюджету (Комплексное развитие сельских территорий) от 11.06.2020 № 57560000-1-2020-004; 5) РД от 19.03.2020 № 150 "Об утверждении Правил благоустройства территории Юсьвинского муниципального округа Пермского края"; 6) Постановление АЮМО от 18.02.2021 № 86 "Об утверждении Положения о конкурсе проектов развития территориального общественного самоуправления на территории Юсьвинского муниципального округа Пермского края"</t>
  </si>
  <si>
    <t>1) п.5.6;  2) в целом; 3) в целом; 4) в целом; 5) в целом ; 6) в целом</t>
  </si>
  <si>
    <t>1) 25.03.2020 не установлена; 2) 20.10.2021-31.12.2025; 3) 01.01.2021-31.12.2023; 4) 01.01.2020-31.12.2022; 5) 25.03.2020 не установлена; 6) 03.03.2021 не установлена</t>
  </si>
  <si>
    <t>1) Постановление администрации ЮМР от 30.12.2021 № 697 "Об утверждении Порядка определения объема и условий предоставления из бюджета Юсьвинского муниципального округа Пермского края субсидий на иные цели в соответствии с абзацем вторым пункта 1 статьи 78.1 Бюджетного кодекса Российской Федерации";</t>
  </si>
  <si>
    <t>1) Постановление администрации ЮМО от 02.04.2021 № 173 "Об утверждении Порядка предоставления в 2021 году субсидий за счет средств  бюджета Юсьвинского муниципального округа Пермского края на возмещение части затрат на производство и реализацию молока сельскохозяйственным предприятиям Юсьвинского муниципального округа Пермского края"; 2) Постановление администрации ЮМР от 20.08.2019 № 309 "Об утверждении плана мероприятий по предотвращению распространения и уничтожению (ликвидации) борщевика Сосновского на территории Юсьвинского муниципального района на 2019 – 2021 годы"; 3) Постановление администрации ЮМО от 07.10.2021 № 525/16 "О внесении изменений в   муниципальную программу  Реализация мероприятий по предотвращению распространения и уничтожению борщевика Сосновского в Юсьвинском муниципальном округе Пермского края»"; 4) Постановление администрации ЮМО от 31.08.2021 № 442 "Об утверждении Порядка предоставления сельскохозяйственным предприятиям  в  2021 году субсидий за счет средств  бюджета Юсьвинского муниципального округа Пермского края  на восстановление (биологическую рекультивацию) и возмещение  упущенной  выгоды временно изъятых земельных участков"</t>
  </si>
  <si>
    <t>1) п. 1.1; п. 1.4; 2) в целом; 3) в целом; 4) п. 1.3</t>
  </si>
  <si>
    <t>1) 23.04.2020 - 31.12.2020; 2) 26.08.2019 не установена; 3) 20.10.2021 не установлена; 4) 01.09.2021 не установлена</t>
  </si>
  <si>
    <t>1) Постановление администрации ЮМО от 27.07.2021 № 377 "Об утверждении Порядка предоставления из бюджета Юсьвинского муниципального округа Пермского края субсидий         субъектам    малого         и        среднего предпринимательства в рамках реализации мероприятий муниципальной программы «Экономическое развитие    Юсьвинского муниципального округа Пермского края"; 2) Постановление администрации ЮМО от 30.10.2020 № 519 "Об утверждении Порядка предоставления из бюджета Юсьвинского муниципального округа Пермского края субсидий на возмещение части затрат, связанных с газификацией объектов субъектами малого и среднего предпринимательства"</t>
  </si>
  <si>
    <t>1) 04.08.2021 не установлена; 2) 05.11.2020 не установлена</t>
  </si>
  <si>
    <t>1)  Постановление администрации ЮМР от 14.11.2019 № 479 "Об утверждении Порядка формирования муниципального задания на оказание муниципальных услуг (выполнение работ) в отношении муниципальных учреждений Юсьвинского муниципального района и финансового обеспечения выполнения муниципального задания"; 2) Постановление администрации ЮМР от 30.12.2020 № 697 "Об утверждении Порядка определения объема и условий предоставления из бюджета Юсьвинского муниципального округа Пермского края субсидий на иные цели в соответствии с абзацем вторым пункта 1 статьи 78.1 Бюджетного кодекса Российской Федерации"</t>
  </si>
  <si>
    <t xml:space="preserve">1) 21.11.2019 не установлен; 2) 13.01.2021 не установлен; </t>
  </si>
  <si>
    <t>Постановление администрации ЮМР от 30.09.2021 № 513 "Об утверждении Положения  о порядке и условиях материального стимулирования граждан, участвующих в охране общественного порядка на территории  Юсьвинского муниципального округа Пермского края"</t>
  </si>
  <si>
    <t>13.10.2021 не установлен</t>
  </si>
  <si>
    <t>1) Постановление администрации ЮМР от 07.10.2021 № 525/5 "О внесении изменений в муниципальную программу «Управление муниципальным имуществом Юсьвинского муниципального округа Пермского края"; 2) Соглашение о предоставлении субсидии, имеющей целевое назначение, из бюджета Пермского края бюджету муниципального образования Пермского края, источником предоставления которой являются средства бюджета Пермского края на софинансирование расходов на разработку проектов межевания территории и проведение комплексных кадастровых работ от 24.08.2020 № 1235 (допсоглашение от 11.02.2021 № 1)</t>
  </si>
  <si>
    <t>1) 20.10.2021-31.12.2025; 2) 01.01.2022-31.12.2023</t>
  </si>
  <si>
    <t>1) РД от 12.11.2019 № 37 "Об утверждении Положения о представительских расходах и иных расходах, связанных с представительской деятельностью органов местного самоуправления Юсьвинского муниципального округа ПК"; 2) Постановление АЮМО от 29.06.2020 № 314 "Об утверждении Положений о Почетной грамоте, Благодарности администрации Юсьвинского муниципального округа Пермского края, Благодарственном письме главы Юсьвинского муниципального  округа Пермского края"; 3) РД от 22.10.2020 № 225 "Об обеспечении работников муниципальных учреждений Юсьвинского муниципального округа Пермского края  путевками на санаторно-курортное лечение и оздоровление"; 4) Постановление АЮМО от 17.08.2021 № 420 "Об утверждении расчетных показателей по расходам бюджета Юсьвинского муниципального округа Пермского края на 2022 год и на плановый период 2023 и 2024 годов на обеспечение деятельности органов местного самоуправления" (изм. от 04.10.2021 № 516)</t>
  </si>
  <si>
    <t>1) 14.11.2019 не установлена; 2) 01.07.2020 не установлена; 3) 28.10.2020 не установлена; 4) 25.08.2021 не установлена</t>
  </si>
  <si>
    <t>01/04 01/06 01/13 07/09 08/04 10/03</t>
  </si>
  <si>
    <t>1) РД от 12.11.2019 № 36 "Об утверждении Положения о денежном содержании муниципальных служащих Юсьвинского муниципального округа ПК"; 2) Постановление АЮМО от 14.11.2019 г. № 486 "Об утверждении Положения о системе оплаты труда работников, замещающих должности, не являющиеся должностями муниципальной службы, и осуществляющих техническое обеспечение деятельности администрации Юсьвинского МО"</t>
  </si>
  <si>
    <t xml:space="preserve">1) 14.11.2019 не установлена; 2) 27.11.2019 не установлена; </t>
  </si>
  <si>
    <t>1) РД от 12.11.2019 № 35 "Об утверждения положения о денежном содержании выборного должностного лица Юсьвинского муниципального округа ПК, осуществляющего свои полномочия на постонянной основе"; 2)РД от 31.01.2020 № 102 "О внесении изменений в Положение о компенсационных выплатах депутатам Думы Юсьвинского муниципального округа Пермского края за время осуществления полномочий"; 3) РД от 12.11.2019 № 37 "Об утверждении Положения о представительских расходах и иных расходах, связанных с представительской деятельностью органов местного самоуправления Юсьвинского муниципального округа ПК"; 4)Постановление АЮМО от 17.08.2021 № 420 "Об утверждении расчетных показателей по расходам бюджета Юсьвинского муниципального округа Пермского края на 2022 год и на плановый период 2023 и 2024 годов на обеспечение деятельности органов местного самоуправления" (изм. от 04.10.2021 № 516)</t>
  </si>
  <si>
    <t>1) 14.11.2019 не установлена; 2) 05.02.2020 не установлена; 3) 14.11.2019 не установлена; 4) 25.08.2021 не установлена</t>
  </si>
  <si>
    <t>1) Постановление администрации ЮМО от 18.05.2020 № 218 "Об утверждении Порядка составления, утверждения и ведения бюджетных смет администрации Юсьвинского муниципального округа Пермского края и муниципальных казенных учреждений, находящихся в ведении администрации Юсьвинского муниципального округа Пермского края"; 2) Постановление администрации ЮМО от 18.10.2021 № 542 "Об утверждении Положения о системе оплаты труда работников и руководителей муниципальных казенных учреждений Юсьвинского муниципального округа Пермского края"; 3) Постановление АЮМР от 27.11.2012 № 682 "О создании МКУ "ЕУЦ"; 4) Постановление АЮМР от 27.11.2012 № 683 "О создании МКУ "ЕСЦ"; 5) Постановление АЮМР от 14.01.2013 № 20 "О создании МКУ "ЕДДС"; 6) Постановление АЮМР от 13.12.2019 № 542 "О создании МКУ "ЕЦБ"; 7) Постановление АЮМР от 16.12.2019 № 548 "О создании МКУ "УДХ и КС"</t>
  </si>
  <si>
    <t>1) п. 2.1; 2) в целом; 3) в целом; 4) в целом; 5) в целом; 6) в целом; 7) в целом</t>
  </si>
  <si>
    <t>1) 03.06.2020 не установлена; 2) 27.10.2021 не установлена; 3) 01.12.2012 не установлена; 4) 01.12.2012 не установлена; 5) 22.01.2013 не установлена; 6) 13.12.2019 не установлена; 7) 16.12.2019 не установлена</t>
  </si>
  <si>
    <t>1) Постановление администрации ЮМР от 14.11.2019 № 479 "Об утверждении Порядка формирования муниципального задания на оказание муниципальных услуг (выполнение работ) в отношении муниципальных учреждений Юсьвинского муниципального округа и финансового обеспечения выполнения муниципального задания"; 2) Постановление администрации ЮМО от 08.09.2021 № 462 "Об утверждении плановых объемов муниципального задания на оказание муниципальных услуг (работ) на 2022 год и плановый период 2023-2024 годов"</t>
  </si>
  <si>
    <t>1) 21.11.2019 не установлена; 2) 15.09.2021 не установлена</t>
  </si>
  <si>
    <t>Постановление администрации ЮМО от 15.01.2021 № 16 "О создании военно- учетного стола администрации Юсьвинского муниципального округа  Пермского края и утверждении Положения об организации и осуществлении первичного воинского учета граждан на территории Юсьвинского муниципального округа Пермского края"</t>
  </si>
  <si>
    <t>п. 7</t>
  </si>
  <si>
    <t>01.01.2021 - не установлена</t>
  </si>
  <si>
    <t xml:space="preserve">1) Постановление администрации ЮМР от 21.01.2020 № 41 "О принятии расходных обязательств по исполнению переданных государственных полномочий по хранению, комплектованию, учету и использованию архивных документов государственной части документов архивного фонда Пермского края"; 2) Постановление администрации ЮМР от 10.09.2020 № 455 "Об   осуществлении    отдельных    государственных полномочий  по  поддержке   сельскохозяйственного производства в Юсьвинском муниципальном округе Пермского края"; </t>
  </si>
  <si>
    <t xml:space="preserve"> 1) 29.01.2020 - не установлена; 2) 17.09.2020 не установлена; </t>
  </si>
  <si>
    <t xml:space="preserve"> 1) 29.01.2020 - не установлена; 2) 17.09.2020 не установлена;</t>
  </si>
  <si>
    <t>1) Постановление администрации ЮМР от 06.08.2018 № 252 "О принятии расходного обязательства по исполнению переданных отдельных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2) Постановление Администрации ЮМО от 14.04.2020 N 132 "Об утверждении порядков осуществления отдельных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</si>
  <si>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 xml:space="preserve"> 1) в целом; 2) раздел 2</t>
  </si>
  <si>
    <t>1) 09.08.2018 не установлена; 2) 22.04.2020 не установлена</t>
  </si>
  <si>
    <t xml:space="preserve">1) Постановление администрации ЮМО от 14.02.2020 № 65 "Об установлении  расходных обязательств Юсьвинского муниципального округа Пермского края по исполнению управлением образования администрации Юсьвинского муниципального округа Пермского края переданных государственных полномочий по предоставлению мер социальной поддержки обучающимся из малоимущих многодетных и малоимущих семей"; 2) Постановление администрации ЮМО от 21.02.2020 № 73/4 "Об установлении расходных обязательств Юсьвинского муниципального округа Пермского края по исполнению управлением образования администрации Юсьвинского муниципального округа Пермского края переданных государственных полномочий по предоставлению мер социальной поддержки по оплате жилого помещения и коммунальных услуг педагогических работников образовательных учреждений, педагогических работников, вышедших на пенсию, проживающих в сельской местности и поселках городского типа (рабочих поселках)"; </t>
  </si>
  <si>
    <t>1) 26.02.2020 не установлена; 2) 04.03.2020 не установлена;</t>
  </si>
  <si>
    <t>Соглашение от 30.07.2021 № 576 о предоставлении субвенций из бюджета Пермского края бюджетам городских округов, муниципальных округов и сельских поселений Пермского края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t>
  </si>
  <si>
    <t>01.01.2021-31.12.2021</t>
  </si>
  <si>
    <t>1) ﻿Законом ПК от 28 декабря 2007 № 172-ПК "О наделении органов местного самоуправления Пермского края государственными полномочиями по выплате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2) Постановление ППК от 01.08.2018 N 444-п "О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</si>
  <si>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1) в целом; 2) п. 3</t>
  </si>
  <si>
    <t>1) 26.01.2008 не установлена; 2) 01.09.2018 не установлена</t>
  </si>
  <si>
    <t>﻿1) Закон ПК от 10.09.2008 № 290-ПК "О наделении органов местного самоуправления Пермского края отдельными государственными полномочиями по предоставлению мер социальной поддержки обучающимся из малоимущих многодетных и малоимущих семей";</t>
  </si>
  <si>
    <t>1) ст. 6;</t>
  </si>
  <si>
    <t>1) 07.10.2008 не установлена;</t>
  </si>
  <si>
    <t>1) Законом Пермского края от 10.05.2017 г. № 88-ПК «О наделении органов местного самоуправления  отдельными государственными полномочиями по обеспечению жилыми помещениями детей- сирот и детей, оставшихся без попечения родителей, лиц из числа детей-сирот и детей, оставшихся без попечения родителей»; 2) Постановление Правительства ПК от 25.05.2007 N 112-п "Об утверждении Методики определения средней расчетной стоимости 1 квадратного метра общей площади жилья по муниципальным районам (городским округам) Пермского края"; 3) Постановление Правительства Пермского края от 12.07.2017 N 665-п "Об утверждении порядков по финансовому обеспечению и осуществлению органами местного самоуправления отдельных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</si>
  <si>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1) ст. 6; 2) в целом; 3) раздел 2</t>
  </si>
  <si>
    <t>1) 01.07.2017 - не установлена; 2) 26.06.2007 не установлена; 3) 29.07.2007 не установлена</t>
  </si>
  <si>
    <t>Постановление Правительства Пермского края от 16.07.2019 N 483-п "Об утверждении Порядка предоставления и расходования субсидий из бюджета Пермского края бюджетам муниципальных образований Пермского края на реализацию мероприятий в сфере молодежной политики"</t>
  </si>
  <si>
    <t>п. 2</t>
  </si>
  <si>
    <t>23.09.2020 не установлена</t>
  </si>
  <si>
    <t>1) Постановление Правительства Пермского края от 03.10.2013 N 1320-п  "Об утверждении государственной программы "Государственная поддержка агропромышленного комплекса Пермского края"                 2) Постановление Правительства ПК от 26.02.2020 № 90-п "Об утверждении Порядка предоставления и распределения субсидий из бюджета Пермского края бюджетам муниципальных образований Пермского края на реализацию мероприятий по предотвращению распространения и уничтожению борщевика Сосновского в муниципальных образованиях Пермского края"</t>
  </si>
  <si>
    <t>1) в целом;                    2) в целом</t>
  </si>
  <si>
    <t>1) 01.01.2014-31.12.2022; 2) 28.02.2020 не установлена</t>
  </si>
  <si>
    <t>1) Закон Пермского края от 12.03.2014 № 308-ПК "Об образовании в Пермском крае"; 2) Закон ПК от 02.09.2014 № 357-ПК "О предоставлении субсидий бюджетам муниципальных образований Пермского края из бюджета Пермского края"; 3) Постановление Правительства ПК от 29.09.2021 № 707-п "Об утверждении расчетных показателей по расходам бюджета Пермского края на обеспечение деятельности казенных учреждений и на предоставление межбюджетных трансфертов на 2022 год и на плановый период 2023 и 2024 годов"</t>
  </si>
  <si>
    <t>1) ст. 5, ст. 42; 2) в целом; 3) п. 7.2</t>
  </si>
  <si>
    <t>1) 28.03.2014 - не установлена; 2) 19.09.2014 не установлена; 3) 29.09.2021 не установлена</t>
  </si>
  <si>
    <t>1) Закон Пермского края от 12.03.2014 № 308-ПК "Об образовании в Пермском крае"; 2) Постановление Правительства ПК от 29.09.2021 № 707-п "Об утверждении расчетных показателей по расходам бюджета Пермского края на обеспечение деятельности казенных учреждений и на предоставление межбюджетных трансфертов на 2022 год и на плановый период 2023 и 2024 годов"</t>
  </si>
  <si>
    <t>1) ст. 5; 2) п. 7.2</t>
  </si>
  <si>
    <t>1) 28.03.2014 - не установлена; 2) 29.09.2021 не установлена</t>
  </si>
  <si>
    <t>﻿1) Постановление Правительства Пермского края от 03.10.2013 N 1321-п "Об утверждении государственной программы "Социальная поддержка жителей Пермского края"﻿; 2) Постановление Правительства Пермского края от 26.04.2019 N 313-п "Об утверждении Порядка предоставления и расходования средств, поступивших от государственной корпорации - Фонда содействия реформированию жилищно-коммунального хозяйства, бюджетам муниципальных образований Пермского края в форме межбюджетных трансфертов на обеспечение мероприятий по переселению граждан из аварийного жилищного фонда"; 3) Постановление Правительства Пермского края от 09.06.2021 N 384-п «Об утверждении на III квартал 2021 года корректирующих коэффициентов по муниципальным районам (городским, муниципальным округам) Пермского края и средней расчетной стоимости 1 квадратного метра общей площади жилья по муниципальным районам (городским, муниципальным округам) Пермского края для расчета размера субсидий, предоставляемых гражданам из бюджета Пермского края на строительство и приобретение жилых помещений"; 4) Постановление Правительства ПК от 20.08.2021 № 600-п "Об утверждении Порядка предоставления субсидий бюджетам муниципальных образований Пермского края на переселение жителей Пермского края из труднодоступных, отдаленных и малочисленных населенных пунктов Пермского края"; 5) Постановление Правительства ПК от 14.03.2018 № 110-п "Об утверждении Порядка предоставления субсидий из бюджета Пермского края бюджетам муниципальных образований Пермского края на софинансирование мероприятий по расселению жилищного фонда на территории Пермского края, признанного аварийным после 1 января 2017 года, в рамках реализации региональной адресной программы по расселению аварийного жилищного фонда на территории Пермского края"; 6) Постановление ППК от 03.03.2021 N 112-п "Об утверждении на II квартал 2021 года корректирующих коэффициентов по муниципальным районам (городским, муниципальным округам) Пермского края и средней расчетной стоимости 1 квадратного метра общей площади жилья по муниципальным районам (городским, муниципальным округам) Пермского края для расчета размера субсидий, предоставляемых гражданам из бюджета Пермского края на строительство и приобретение жилых помещений"; 7) Постановление ППК от 15.10.2019 N 753-п "Об установлении минимального размера взноса на капитальный ремонт общего имущества в многоквартирных домах, расположенных на территории Пермского края, на 2020-2022 годы"</t>
  </si>
  <si>
    <t>1) в целом; 2) в целом; 3) в целом; 4) п. 2,3; 5) в целом; 6) в целом; 7) в целом</t>
  </si>
  <si>
    <t>1) 01.01.2014 не установлена; 2) 26.04.2019 не установлена; 3) 21.06.2021 не установлена; 4) 20.08.2021 не установлена; 5) 21.03.2018 не установлена; 6) 15.03.2021 не установлена; 7) 28.10.2019 не установлена</t>
  </si>
  <si>
    <t>1) Закон ПК от 01.12.2011 N 859-ПК "О дорожном фонде Пермского края и о внесении изменения в Закон Пермского края "О бюджетном процессе в Пермском крае";                                                            2) Постановление Правительства ПК от 05.12.2018 N 764-п "Об утверждении Порядка предоставления субсидий бюджетам муниципальных образований Пермского края на проектирование и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 и о признании утратившими силу отдельных постановлений Правительства Пермского края"; 3) Закон ПК от 14.11.2008 N 326-ПК "Об автомобильных дорогах и дорожной деятельности"</t>
  </si>
  <si>
    <t>1) п.3 ч.2 ст.1; 2) в целом; 3) ст. 14</t>
  </si>
  <si>
    <t>1) 01.01.2012 не установлена;  2) 17.12.2018 не установлена; 3) 02.12.2008 не установлена</t>
  </si>
  <si>
    <t xml:space="preserve">1) ﻿Постановление Правительства ПК от 25.03.2019 № 214-п "Об утверждении Порядка предоставления субсидий местным бюджетам на проведение проектных работ и строительство распределительных газопроводов на территории муниципальных образований Пермского края в рамках Региональной программы газификации жилищно-коммунального хозяйства, промышленных и иных организаций Пермского края на 2017-2021 годы"; 2) Закон ПК от 28.02.2018 N 191-ПК "О финансовом обеспечении в связи с отдельными видами преобразования муниципальных образований в Пермском крае"; 3) Постановление ППК от 11.08.2021 № 568-п "О внесении изменений в распределение субсидий, передаваемых в 2021 году и в плановом периоде 2022 и 2023 годов бюджетам муниципальных образований на проведение технического аудита состояния очистных сооружений и сетей водоотведения, и в распределение субсидий, передаваемых в 2022 и 2023 годах бюджетам муниципальных образований на разработку и подготовку проектно-сметной документации по строительству и реконструкции (модернизации) очистных сооружений"
</t>
  </si>
  <si>
    <t>1) п.1, п.6; 2) ст. 2.1; 3) в целом</t>
  </si>
  <si>
    <t>1) 26.03.2019-31.12.2021; 2) 13.03.2018 не установлена; 3) 12.08.2021 не установлена</t>
  </si>
  <si>
    <t>Постановление администрации ЮМО от 30.11.2021 № 628 "Об утверждении Порядка предоставления субсидий из бюджета Юсьвинского муниципального округа Пермского края иным некоммерческим организациям, не являющимся  государственными (муниципальными) учреждениями, на финансовое обеспечение затрат"</t>
  </si>
  <si>
    <t>Отчетный финансовый год (2022)</t>
  </si>
  <si>
    <t>Текущий финансовый год ( 2023 )</t>
  </si>
  <si>
    <t>Финансовый год +1 ( 2024)</t>
  </si>
  <si>
    <t>Финансовй год +2 (2025)</t>
  </si>
  <si>
    <t>Финансовый год +1 (2024)</t>
  </si>
  <si>
    <t>жкх</t>
  </si>
  <si>
    <t>0902</t>
  </si>
  <si>
    <t>Текущий финансовый год (2023)</t>
  </si>
  <si>
    <t>Очередной финансовый год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</si>
</sst>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
  </numFmts>
  <fonts count="24" x14ac:knownFonts="1">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b/>
      <sz val="8"/>
      <name val="Times New Roman"/>
      <family val="1"/>
      <charset val="204"/>
    </font>
    <font>
      <i/>
      <sz val="8"/>
      <name val="Times New Roman"/>
      <family val="1"/>
      <charset val="204"/>
    </font>
    <font>
      <b/>
      <sz val="10"/>
      <name val="Arial Cyr"/>
      <charset val="204"/>
    </font>
    <font>
      <b/>
      <sz val="10"/>
      <name val="Times New Roman"/>
      <family val="1"/>
      <charset val="204"/>
    </font>
    <font>
      <sz val="9"/>
      <name val="Times New Roman"/>
      <family val="1"/>
      <charset val="204"/>
    </font>
    <font>
      <sz val="9"/>
      <color indexed="8"/>
      <name val="Times New Roman"/>
      <family val="1"/>
      <charset val="204"/>
    </font>
    <font>
      <b/>
      <sz val="9"/>
      <name val="Times New Roman"/>
      <family val="1"/>
      <charset val="204"/>
    </font>
    <font>
      <i/>
      <sz val="9"/>
      <name val="Times New Roman"/>
      <family val="1"/>
      <charset val="204"/>
    </font>
    <font>
      <sz val="9"/>
      <name val="Arial Cyr"/>
      <charset val="204"/>
    </font>
    <font>
      <b/>
      <u/>
      <sz val="10"/>
      <name val="Arial Cyr"/>
      <charset val="204"/>
    </font>
    <font>
      <sz val="11"/>
      <name val="Times New Roman"/>
      <family val="1"/>
      <charset val="204"/>
    </font>
    <font>
      <b/>
      <sz val="11"/>
      <color indexed="8"/>
      <name val="Times New Roman"/>
      <family val="1"/>
      <charset val="204"/>
    </font>
    <font>
      <sz val="12"/>
      <color indexed="8"/>
      <name val="Times New Roman"/>
      <family val="1"/>
      <charset val="204"/>
    </font>
    <font>
      <sz val="11"/>
      <color indexed="8"/>
      <name val="Times New Roman"/>
      <family val="1"/>
      <charset val="204"/>
    </font>
    <font>
      <i/>
      <sz val="11"/>
      <color indexed="8"/>
      <name val="Times New Roman"/>
      <family val="1"/>
      <charset val="204"/>
    </font>
    <font>
      <sz val="9"/>
      <color indexed="10"/>
      <name val="Times New Roman"/>
      <family val="1"/>
      <charset val="204"/>
    </font>
    <font>
      <b/>
      <sz val="11"/>
      <color theme="1"/>
      <name val="Times New Roman"/>
      <family val="1"/>
      <charset val="204"/>
    </font>
    <font>
      <sz val="11"/>
      <color theme="1"/>
      <name val="Times New Roman"/>
      <family val="1"/>
      <charset val="204"/>
    </font>
    <font>
      <i/>
      <sz val="11"/>
      <color theme="1"/>
      <name val="Times New Roman"/>
      <family val="1"/>
      <charset val="204"/>
    </font>
  </fonts>
  <fills count="12">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4" fillId="0" borderId="0"/>
    <xf numFmtId="164" fontId="1" fillId="0" borderId="0" applyFont="0" applyFill="0" applyBorder="0" applyAlignment="0" applyProtection="0"/>
  </cellStyleXfs>
  <cellXfs count="23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top" wrapText="1"/>
    </xf>
    <xf numFmtId="0" fontId="3" fillId="0" borderId="1" xfId="0" applyFont="1" applyBorder="1" applyAlignment="1">
      <alignment vertical="center"/>
    </xf>
    <xf numFmtId="0" fontId="3" fillId="0" borderId="1" xfId="0" applyFont="1" applyBorder="1" applyAlignment="1">
      <alignment horizontal="center"/>
    </xf>
    <xf numFmtId="49" fontId="3" fillId="0" borderId="1" xfId="0" applyNumberFormat="1" applyFont="1" applyBorder="1" applyAlignment="1">
      <alignment vertical="center"/>
    </xf>
    <xf numFmtId="0" fontId="3" fillId="0" borderId="1" xfId="0" applyNumberFormat="1" applyFont="1" applyBorder="1" applyAlignment="1">
      <alignment horizontal="left" vertical="center"/>
    </xf>
    <xf numFmtId="0" fontId="3" fillId="2" borderId="1" xfId="0" applyFont="1" applyFill="1" applyBorder="1" applyAlignment="1">
      <alignment vertical="center" wrapText="1"/>
    </xf>
    <xf numFmtId="165" fontId="2" fillId="0" borderId="1" xfId="0" applyNumberFormat="1" applyFont="1" applyBorder="1" applyAlignment="1">
      <alignment vertical="center"/>
    </xf>
    <xf numFmtId="165" fontId="0" fillId="0" borderId="1" xfId="0" applyNumberFormat="1" applyFont="1" applyBorder="1"/>
    <xf numFmtId="165" fontId="8" fillId="2" borderId="1" xfId="0" applyNumberFormat="1" applyFont="1" applyFill="1" applyBorder="1" applyAlignment="1">
      <alignment vertical="center"/>
    </xf>
    <xf numFmtId="49" fontId="3" fillId="2" borderId="1" xfId="0" applyNumberFormat="1" applyFont="1" applyFill="1" applyBorder="1" applyAlignment="1">
      <alignment vertical="center"/>
    </xf>
    <xf numFmtId="0" fontId="3" fillId="2" borderId="1" xfId="0" applyNumberFormat="1" applyFont="1" applyFill="1" applyBorder="1" applyAlignment="1">
      <alignment horizontal="left" vertical="center"/>
    </xf>
    <xf numFmtId="0" fontId="7" fillId="0" borderId="0" xfId="0" applyFont="1" applyAlignment="1">
      <alignment horizontal="center"/>
    </xf>
    <xf numFmtId="49" fontId="3" fillId="0" borderId="1" xfId="0" applyNumberFormat="1" applyFont="1" applyBorder="1" applyAlignment="1">
      <alignment horizontal="center" vertical="center" wrapText="1"/>
    </xf>
    <xf numFmtId="49" fontId="0" fillId="0" borderId="1" xfId="0" applyNumberFormat="1" applyBorder="1"/>
    <xf numFmtId="0" fontId="3" fillId="0" borderId="0" xfId="0" applyFont="1" applyBorder="1" applyAlignment="1">
      <alignment horizontal="center" vertical="center" wrapText="1"/>
    </xf>
    <xf numFmtId="0" fontId="3" fillId="2" borderId="1" xfId="0" applyFont="1" applyFill="1" applyBorder="1" applyAlignment="1">
      <alignment horizontal="left" vertical="center" wrapText="1"/>
    </xf>
    <xf numFmtId="49" fontId="3" fillId="2" borderId="1" xfId="0" applyNumberFormat="1" applyFont="1" applyFill="1" applyBorder="1" applyAlignment="1">
      <alignment horizontal="left" vertical="center"/>
    </xf>
    <xf numFmtId="0" fontId="9" fillId="0" borderId="1" xfId="0" applyFont="1" applyBorder="1" applyAlignment="1">
      <alignment horizontal="left" vertical="center" wrapText="1"/>
    </xf>
    <xf numFmtId="0" fontId="10" fillId="0" borderId="1" xfId="0" applyNumberFormat="1" applyFont="1" applyFill="1" applyBorder="1" applyAlignment="1" applyProtection="1">
      <alignment horizontal="left" vertical="center" wrapText="1" shrinkToFit="1"/>
      <protection locked="0"/>
    </xf>
    <xf numFmtId="49" fontId="0" fillId="0" borderId="1" xfId="0" applyNumberFormat="1" applyBorder="1" applyAlignment="1">
      <alignment wrapText="1"/>
    </xf>
    <xf numFmtId="0" fontId="0" fillId="0" borderId="1" xfId="0" applyBorder="1" applyAlignment="1">
      <alignment wrapText="1"/>
    </xf>
    <xf numFmtId="49" fontId="0" fillId="0" borderId="0" xfId="0" applyNumberFormat="1" applyAlignment="1">
      <alignment wrapText="1"/>
    </xf>
    <xf numFmtId="0" fontId="3" fillId="3" borderId="1" xfId="0" applyFont="1" applyFill="1" applyBorder="1" applyAlignment="1">
      <alignment vertical="center" wrapText="1"/>
    </xf>
    <xf numFmtId="49" fontId="3" fillId="3" borderId="1" xfId="0" applyNumberFormat="1" applyFont="1" applyFill="1" applyBorder="1" applyAlignment="1">
      <alignment vertical="center"/>
    </xf>
    <xf numFmtId="1" fontId="3" fillId="3" borderId="1" xfId="0" applyNumberFormat="1" applyFont="1" applyFill="1" applyBorder="1" applyAlignment="1">
      <alignment horizontal="left" vertical="center"/>
    </xf>
    <xf numFmtId="0" fontId="6" fillId="4" borderId="1" xfId="0" applyFont="1" applyFill="1" applyBorder="1" applyAlignment="1">
      <alignment horizontal="right" vertical="center" wrapText="1"/>
    </xf>
    <xf numFmtId="0" fontId="3" fillId="4" borderId="1" xfId="0" applyNumberFormat="1" applyFont="1" applyFill="1" applyBorder="1" applyAlignment="1">
      <alignment horizontal="left" vertical="center"/>
    </xf>
    <xf numFmtId="49" fontId="0" fillId="4" borderId="1" xfId="0" applyNumberFormat="1" applyFill="1" applyBorder="1"/>
    <xf numFmtId="165" fontId="0" fillId="4" borderId="1" xfId="0" applyNumberFormat="1" applyFont="1" applyFill="1" applyBorder="1"/>
    <xf numFmtId="0" fontId="0" fillId="4" borderId="0" xfId="0" applyFill="1"/>
    <xf numFmtId="0" fontId="9" fillId="0" borderId="1" xfId="0" applyFont="1" applyBorder="1" applyAlignment="1">
      <alignment vertical="center" wrapText="1"/>
    </xf>
    <xf numFmtId="14" fontId="9" fillId="0" borderId="1" xfId="0" applyNumberFormat="1" applyFont="1" applyBorder="1" applyAlignment="1">
      <alignment horizontal="left" vertical="center" wrapText="1"/>
    </xf>
    <xf numFmtId="0" fontId="9" fillId="0" borderId="1" xfId="0" applyFont="1" applyBorder="1" applyAlignment="1">
      <alignment horizontal="left" vertical="center"/>
    </xf>
    <xf numFmtId="14" fontId="10" fillId="0" borderId="1" xfId="0" applyNumberFormat="1" applyFont="1" applyFill="1" applyBorder="1" applyAlignment="1" applyProtection="1">
      <alignment horizontal="left" vertical="center" wrapText="1" shrinkToFit="1"/>
      <protection locked="0"/>
    </xf>
    <xf numFmtId="0" fontId="9" fillId="0" borderId="1" xfId="0" applyNumberFormat="1" applyFont="1" applyFill="1" applyBorder="1" applyAlignment="1" applyProtection="1">
      <alignment horizontal="left" vertical="center" wrapText="1" shrinkToFit="1"/>
      <protection locked="0"/>
    </xf>
    <xf numFmtId="14" fontId="9" fillId="0" borderId="1" xfId="0" applyNumberFormat="1" applyFont="1" applyFill="1" applyBorder="1" applyAlignment="1" applyProtection="1">
      <alignment horizontal="left" vertical="center" wrapText="1" shrinkToFit="1"/>
      <protection locked="0"/>
    </xf>
    <xf numFmtId="0" fontId="9" fillId="4" borderId="1" xfId="0" applyFont="1" applyFill="1" applyBorder="1" applyAlignment="1">
      <alignment horizontal="left"/>
    </xf>
    <xf numFmtId="0" fontId="9" fillId="0" borderId="1" xfId="0" applyFont="1" applyBorder="1" applyAlignment="1">
      <alignment horizontal="left"/>
    </xf>
    <xf numFmtId="49" fontId="9" fillId="0" borderId="1" xfId="0" applyNumberFormat="1" applyFont="1" applyBorder="1" applyAlignment="1">
      <alignment horizontal="left" vertical="center"/>
    </xf>
    <xf numFmtId="166" fontId="9" fillId="5" borderId="1" xfId="0" applyNumberFormat="1"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49" fontId="9" fillId="0" borderId="1" xfId="0" applyNumberFormat="1" applyFont="1" applyBorder="1" applyAlignment="1">
      <alignment horizontal="left" vertical="center" wrapText="1"/>
    </xf>
    <xf numFmtId="0" fontId="9" fillId="0" borderId="0" xfId="0" applyFont="1" applyAlignment="1">
      <alignment horizontal="left" vertical="center" wrapText="1"/>
    </xf>
    <xf numFmtId="0" fontId="10" fillId="0" borderId="1" xfId="0" applyFont="1" applyFill="1" applyBorder="1" applyAlignment="1">
      <alignment horizontal="left" vertical="center" wrapText="1"/>
    </xf>
    <xf numFmtId="0" fontId="7" fillId="0" borderId="0" xfId="0" applyFont="1" applyAlignment="1"/>
    <xf numFmtId="0" fontId="9" fillId="0" borderId="1" xfId="0" applyFont="1" applyBorder="1" applyAlignment="1">
      <alignment horizontal="left" wrapText="1"/>
    </xf>
    <xf numFmtId="165" fontId="0" fillId="3" borderId="1" xfId="0" applyNumberFormat="1" applyFont="1" applyFill="1" applyBorder="1"/>
    <xf numFmtId="0" fontId="3" fillId="2" borderId="0" xfId="0" applyFont="1" applyFill="1" applyBorder="1" applyAlignment="1">
      <alignment vertical="center" wrapText="1"/>
    </xf>
    <xf numFmtId="0" fontId="3" fillId="2" borderId="0" xfId="0" applyNumberFormat="1" applyFont="1" applyFill="1" applyBorder="1" applyAlignment="1">
      <alignment horizontal="left" vertical="center"/>
    </xf>
    <xf numFmtId="0" fontId="3" fillId="2" borderId="0" xfId="0" applyFont="1" applyFill="1" applyBorder="1" applyAlignment="1">
      <alignment horizontal="left" vertical="center" wrapText="1"/>
    </xf>
    <xf numFmtId="49" fontId="3" fillId="2" borderId="0" xfId="0" applyNumberFormat="1" applyFont="1" applyFill="1" applyBorder="1" applyAlignment="1">
      <alignment horizontal="left" vertical="center"/>
    </xf>
    <xf numFmtId="49" fontId="3" fillId="2" borderId="0" xfId="0" applyNumberFormat="1" applyFont="1" applyFill="1" applyBorder="1" applyAlignment="1">
      <alignment vertical="center"/>
    </xf>
    <xf numFmtId="165" fontId="8" fillId="2" borderId="0" xfId="0" applyNumberFormat="1" applyFont="1" applyFill="1" applyBorder="1" applyAlignment="1">
      <alignment vertical="center"/>
    </xf>
    <xf numFmtId="0" fontId="14" fillId="0" borderId="0" xfId="0" applyFont="1" applyAlignment="1"/>
    <xf numFmtId="0" fontId="13" fillId="0" borderId="2" xfId="0" applyFont="1" applyBorder="1" applyAlignment="1">
      <alignment vertical="top"/>
    </xf>
    <xf numFmtId="0" fontId="2" fillId="0" borderId="0" xfId="0" applyFont="1"/>
    <xf numFmtId="0" fontId="5" fillId="6" borderId="1" xfId="0" applyFont="1" applyFill="1" applyBorder="1" applyAlignment="1">
      <alignment vertical="center" wrapText="1"/>
    </xf>
    <xf numFmtId="49" fontId="5" fillId="6" borderId="1" xfId="0" applyNumberFormat="1" applyFont="1" applyFill="1" applyBorder="1" applyAlignment="1">
      <alignment vertical="center"/>
    </xf>
    <xf numFmtId="165" fontId="8" fillId="6" borderId="1" xfId="0" applyNumberFormat="1" applyFont="1" applyFill="1" applyBorder="1" applyAlignment="1">
      <alignment vertical="center"/>
    </xf>
    <xf numFmtId="0" fontId="3" fillId="6" borderId="1" xfId="0" applyFont="1" applyFill="1" applyBorder="1" applyAlignment="1">
      <alignment vertical="center" wrapText="1"/>
    </xf>
    <xf numFmtId="49" fontId="3" fillId="6" borderId="1" xfId="0" applyNumberFormat="1" applyFont="1" applyFill="1" applyBorder="1" applyAlignment="1">
      <alignment vertical="center"/>
    </xf>
    <xf numFmtId="0" fontId="6" fillId="6" borderId="1" xfId="0" applyFont="1" applyFill="1" applyBorder="1" applyAlignment="1">
      <alignment vertical="center" wrapText="1"/>
    </xf>
    <xf numFmtId="0" fontId="9" fillId="6" borderId="1" xfId="0" applyFont="1" applyFill="1" applyBorder="1" applyAlignment="1">
      <alignment horizontal="left" vertical="center" wrapText="1"/>
    </xf>
    <xf numFmtId="49" fontId="9" fillId="6" borderId="1" xfId="0" applyNumberFormat="1" applyFont="1" applyFill="1" applyBorder="1" applyAlignment="1">
      <alignment horizontal="left" vertical="center"/>
    </xf>
    <xf numFmtId="0" fontId="0" fillId="6" borderId="0" xfId="0" applyFill="1"/>
    <xf numFmtId="0" fontId="3" fillId="6" borderId="1" xfId="0" applyNumberFormat="1" applyFont="1" applyFill="1" applyBorder="1" applyAlignment="1">
      <alignment horizontal="left" vertical="center"/>
    </xf>
    <xf numFmtId="165" fontId="2" fillId="6" borderId="1" xfId="0" applyNumberFormat="1" applyFont="1" applyFill="1" applyBorder="1" applyAlignment="1">
      <alignment vertical="center"/>
    </xf>
    <xf numFmtId="49" fontId="9" fillId="6" borderId="1" xfId="0" applyNumberFormat="1" applyFont="1" applyFill="1" applyBorder="1" applyAlignment="1">
      <alignment horizontal="left" vertical="center" wrapText="1"/>
    </xf>
    <xf numFmtId="0" fontId="10" fillId="6" borderId="1" xfId="0" applyNumberFormat="1" applyFont="1" applyFill="1" applyBorder="1" applyAlignment="1" applyProtection="1">
      <alignment horizontal="left" vertical="center" wrapText="1" shrinkToFit="1"/>
      <protection locked="0"/>
    </xf>
    <xf numFmtId="14" fontId="10" fillId="6" borderId="1" xfId="0" applyNumberFormat="1" applyFont="1" applyFill="1" applyBorder="1" applyAlignment="1" applyProtection="1">
      <alignment horizontal="left" vertical="center" wrapText="1" shrinkToFit="1"/>
      <protection locked="0"/>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xf>
    <xf numFmtId="49" fontId="3" fillId="0" borderId="1" xfId="0" applyNumberFormat="1" applyFont="1" applyFill="1" applyBorder="1" applyAlignment="1">
      <alignment vertical="center"/>
    </xf>
    <xf numFmtId="165" fontId="8" fillId="0" borderId="1" xfId="0" applyNumberFormat="1" applyFont="1" applyFill="1" applyBorder="1" applyAlignment="1">
      <alignment vertical="center"/>
    </xf>
    <xf numFmtId="0" fontId="12" fillId="6" borderId="1" xfId="0" applyFont="1" applyFill="1" applyBorder="1" applyAlignment="1">
      <alignment vertical="center" wrapText="1"/>
    </xf>
    <xf numFmtId="0" fontId="9" fillId="6" borderId="1" xfId="0" applyNumberFormat="1" applyFont="1" applyFill="1" applyBorder="1" applyAlignment="1">
      <alignment horizontal="left" vertical="center"/>
    </xf>
    <xf numFmtId="0" fontId="11" fillId="6" borderId="1" xfId="0" applyFont="1" applyFill="1" applyBorder="1" applyAlignment="1">
      <alignment vertical="center" wrapText="1"/>
    </xf>
    <xf numFmtId="165" fontId="0" fillId="6" borderId="1" xfId="0" applyNumberFormat="1" applyFont="1" applyFill="1" applyBorder="1"/>
    <xf numFmtId="165" fontId="2" fillId="6" borderId="3" xfId="0" applyNumberFormat="1" applyFont="1" applyFill="1" applyBorder="1" applyAlignment="1">
      <alignment horizontal="right" vertical="center"/>
    </xf>
    <xf numFmtId="165" fontId="2" fillId="5" borderId="1" xfId="0" applyNumberFormat="1" applyFont="1" applyFill="1" applyBorder="1" applyAlignment="1">
      <alignment vertical="center"/>
    </xf>
    <xf numFmtId="49" fontId="9"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0" fillId="0" borderId="0" xfId="0" applyFont="1" applyFill="1"/>
    <xf numFmtId="165" fontId="2" fillId="0" borderId="1" xfId="0" applyNumberFormat="1" applyFont="1" applyFill="1" applyBorder="1" applyAlignment="1">
      <alignment vertical="center"/>
    </xf>
    <xf numFmtId="0" fontId="9" fillId="5" borderId="1" xfId="0" applyFont="1" applyFill="1" applyBorder="1" applyAlignment="1">
      <alignment horizontal="left" vertical="center" wrapText="1"/>
    </xf>
    <xf numFmtId="49" fontId="9" fillId="5" borderId="1" xfId="0" applyNumberFormat="1" applyFont="1" applyFill="1" applyBorder="1" applyAlignment="1">
      <alignment horizontal="left" vertical="center"/>
    </xf>
    <xf numFmtId="49" fontId="3" fillId="5" borderId="1" xfId="0" applyNumberFormat="1" applyFont="1" applyFill="1" applyBorder="1" applyAlignment="1">
      <alignment vertical="center"/>
    </xf>
    <xf numFmtId="165" fontId="8" fillId="5" borderId="3" xfId="0" applyNumberFormat="1" applyFont="1" applyFill="1" applyBorder="1" applyAlignment="1">
      <alignment vertical="center"/>
    </xf>
    <xf numFmtId="165" fontId="8" fillId="5" borderId="1" xfId="0" applyNumberFormat="1" applyFont="1" applyFill="1" applyBorder="1" applyAlignment="1">
      <alignment vertical="center"/>
    </xf>
    <xf numFmtId="0" fontId="0" fillId="0" borderId="0" xfId="0" applyFont="1"/>
    <xf numFmtId="0" fontId="9" fillId="5" borderId="3" xfId="0" applyFont="1" applyFill="1" applyBorder="1" applyAlignment="1">
      <alignment horizontal="left" vertical="center" wrapText="1"/>
    </xf>
    <xf numFmtId="49" fontId="9" fillId="5" borderId="3" xfId="0" applyNumberFormat="1" applyFont="1" applyFill="1" applyBorder="1" applyAlignment="1">
      <alignment horizontal="left" vertical="center"/>
    </xf>
    <xf numFmtId="49" fontId="9" fillId="5" borderId="1" xfId="0" applyNumberFormat="1" applyFont="1" applyFill="1" applyBorder="1" applyAlignment="1">
      <alignment horizontal="left" vertical="center" wrapText="1"/>
    </xf>
    <xf numFmtId="0" fontId="10" fillId="5" borderId="1" xfId="0" applyNumberFormat="1" applyFont="1" applyFill="1" applyBorder="1" applyAlignment="1" applyProtection="1">
      <alignment horizontal="left" vertical="center" wrapText="1" shrinkToFit="1"/>
      <protection locked="0"/>
    </xf>
    <xf numFmtId="14" fontId="10" fillId="5" borderId="1" xfId="0" applyNumberFormat="1" applyFont="1" applyFill="1" applyBorder="1" applyAlignment="1" applyProtection="1">
      <alignment horizontal="left" vertical="center" wrapText="1" shrinkToFit="1"/>
      <protection locked="0"/>
    </xf>
    <xf numFmtId="165" fontId="0" fillId="0" borderId="1" xfId="0" applyNumberFormat="1" applyFont="1" applyFill="1" applyBorder="1"/>
    <xf numFmtId="0" fontId="9" fillId="0" borderId="1" xfId="0" applyNumberFormat="1" applyFont="1" applyFill="1" applyBorder="1" applyAlignment="1">
      <alignment horizontal="left" vertical="center"/>
    </xf>
    <xf numFmtId="0" fontId="9" fillId="0" borderId="1" xfId="0" applyFont="1" applyFill="1" applyBorder="1" applyAlignment="1">
      <alignment vertical="center" wrapText="1"/>
    </xf>
    <xf numFmtId="49" fontId="3" fillId="0" borderId="1" xfId="0" applyNumberFormat="1" applyFont="1" applyFill="1" applyBorder="1" applyAlignment="1">
      <alignment vertical="center" wrapText="1"/>
    </xf>
    <xf numFmtId="1" fontId="3" fillId="0" borderId="1" xfId="0" applyNumberFormat="1" applyFont="1" applyFill="1" applyBorder="1" applyAlignment="1">
      <alignment horizontal="left" vertical="center"/>
    </xf>
    <xf numFmtId="49" fontId="0" fillId="0" borderId="4" xfId="0" applyNumberFormat="1" applyBorder="1"/>
    <xf numFmtId="49" fontId="0" fillId="0" borderId="5" xfId="0" applyNumberFormat="1" applyBorder="1" applyAlignment="1">
      <alignment wrapText="1"/>
    </xf>
    <xf numFmtId="0" fontId="0" fillId="0" borderId="0" xfId="0" applyBorder="1" applyAlignment="1">
      <alignment horizontal="center"/>
    </xf>
    <xf numFmtId="165" fontId="0"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5" fontId="8" fillId="6" borderId="1" xfId="0" applyNumberFormat="1" applyFont="1" applyFill="1" applyBorder="1" applyAlignment="1">
      <alignment horizontal="center" vertical="center"/>
    </xf>
    <xf numFmtId="165" fontId="2" fillId="6"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14" fontId="9" fillId="5" borderId="1" xfId="0" applyNumberFormat="1" applyFont="1" applyFill="1" applyBorder="1" applyAlignment="1" applyProtection="1">
      <alignment horizontal="left" vertical="center" wrapText="1"/>
      <protection locked="0"/>
    </xf>
    <xf numFmtId="165" fontId="8" fillId="0" borderId="1" xfId="0" applyNumberFormat="1" applyFont="1" applyFill="1" applyBorder="1" applyAlignment="1">
      <alignment horizontal="center" vertical="center"/>
    </xf>
    <xf numFmtId="49" fontId="9" fillId="0" borderId="1" xfId="0" applyNumberFormat="1" applyFont="1" applyBorder="1" applyAlignment="1" applyProtection="1">
      <alignment horizontal="left" vertical="center" wrapText="1"/>
    </xf>
    <xf numFmtId="0" fontId="5" fillId="6" borderId="1" xfId="0" applyNumberFormat="1" applyFont="1" applyFill="1" applyBorder="1" applyAlignment="1">
      <alignment horizontal="left" vertical="center"/>
    </xf>
    <xf numFmtId="0" fontId="21" fillId="7" borderId="1" xfId="0"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Fill="1" applyBorder="1" applyAlignment="1">
      <alignment vertical="center" wrapText="1"/>
    </xf>
    <xf numFmtId="0" fontId="22" fillId="0" borderId="6" xfId="0" applyFont="1" applyBorder="1" applyAlignment="1">
      <alignment vertical="center" wrapText="1"/>
    </xf>
    <xf numFmtId="0" fontId="22" fillId="8" borderId="1" xfId="0" applyFont="1" applyFill="1" applyBorder="1" applyAlignment="1">
      <alignment vertical="center" wrapText="1"/>
    </xf>
    <xf numFmtId="0" fontId="23" fillId="0" borderId="1" xfId="0" applyFont="1" applyBorder="1" applyAlignment="1">
      <alignment vertical="center" wrapText="1"/>
    </xf>
    <xf numFmtId="0" fontId="22" fillId="9" borderId="7" xfId="0" applyFont="1" applyFill="1" applyBorder="1" applyAlignment="1">
      <alignment horizontal="left" vertical="center" wrapText="1"/>
    </xf>
    <xf numFmtId="0" fontId="22" fillId="9" borderId="1" xfId="0" applyFont="1" applyFill="1" applyBorder="1" applyAlignment="1">
      <alignment vertical="center" wrapText="1"/>
    </xf>
    <xf numFmtId="164" fontId="21" fillId="10" borderId="1" xfId="2" applyFont="1" applyFill="1" applyBorder="1" applyAlignment="1">
      <alignment vertical="center" wrapText="1"/>
    </xf>
    <xf numFmtId="0" fontId="21" fillId="10"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22" fillId="11" borderId="1" xfId="0" applyFont="1" applyFill="1" applyBorder="1" applyAlignment="1">
      <alignment vertical="center" wrapText="1"/>
    </xf>
    <xf numFmtId="0" fontId="0" fillId="0" borderId="0" xfId="0" applyAlignment="1">
      <alignment vertical="center"/>
    </xf>
    <xf numFmtId="0" fontId="3" fillId="0" borderId="2" xfId="0" applyFont="1" applyBorder="1" applyAlignment="1">
      <alignment vertical="center" wrapText="1"/>
    </xf>
    <xf numFmtId="0" fontId="3" fillId="0" borderId="6" xfId="0" applyFont="1" applyBorder="1" applyAlignment="1">
      <alignment horizontal="center"/>
    </xf>
    <xf numFmtId="49" fontId="3" fillId="0" borderId="6"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horizontal="center" vertical="center"/>
    </xf>
    <xf numFmtId="49" fontId="5" fillId="0" borderId="1" xfId="0" applyNumberFormat="1" applyFont="1" applyFill="1" applyBorder="1" applyAlignment="1">
      <alignment vertical="center"/>
    </xf>
    <xf numFmtId="0" fontId="0" fillId="0" borderId="0" xfId="0" applyFill="1"/>
    <xf numFmtId="165" fontId="8" fillId="5" borderId="0" xfId="0" applyNumberFormat="1" applyFont="1" applyFill="1" applyBorder="1" applyAlignment="1">
      <alignment vertical="center"/>
    </xf>
    <xf numFmtId="0" fontId="0" fillId="0" borderId="2" xfId="0" applyBorder="1" applyAlignment="1"/>
    <xf numFmtId="49" fontId="5" fillId="5" borderId="1" xfId="0" applyNumberFormat="1" applyFont="1" applyFill="1" applyBorder="1" applyAlignment="1">
      <alignment vertical="center"/>
    </xf>
    <xf numFmtId="0" fontId="3" fillId="5" borderId="1" xfId="0" applyFont="1" applyFill="1" applyBorder="1" applyAlignment="1">
      <alignment vertical="center" wrapText="1"/>
    </xf>
    <xf numFmtId="0" fontId="0" fillId="5" borderId="0" xfId="0" applyFill="1"/>
    <xf numFmtId="0" fontId="9" fillId="0" borderId="1" xfId="0" applyNumberFormat="1" applyFont="1" applyFill="1" applyBorder="1" applyAlignment="1" applyProtection="1">
      <alignment horizontal="left" vertical="top" wrapText="1" shrinkToFit="1"/>
      <protection locked="0"/>
    </xf>
    <xf numFmtId="165" fontId="0"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49" fontId="13" fillId="0" borderId="0" xfId="0" applyNumberFormat="1" applyFont="1" applyFill="1" applyAlignment="1">
      <alignment horizontal="center" vertical="center" wrapText="1"/>
    </xf>
    <xf numFmtId="0" fontId="2" fillId="0" borderId="1" xfId="0"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xf>
    <xf numFmtId="0" fontId="9" fillId="0" borderId="0" xfId="0" applyFont="1" applyFill="1" applyAlignment="1">
      <alignment horizontal="left" vertical="center" wrapText="1"/>
    </xf>
    <xf numFmtId="0" fontId="7" fillId="0" borderId="0" xfId="0" applyFont="1" applyFill="1" applyAlignment="1"/>
    <xf numFmtId="0" fontId="7"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xf>
    <xf numFmtId="0" fontId="3"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65" fontId="2" fillId="0" borderId="3" xfId="0" applyNumberFormat="1" applyFont="1" applyFill="1" applyBorder="1" applyAlignment="1">
      <alignment horizontal="center" vertical="center"/>
    </xf>
    <xf numFmtId="0" fontId="7" fillId="0" borderId="0" xfId="0" applyFont="1" applyFill="1" applyAlignment="1">
      <alignment horizontal="center"/>
    </xf>
    <xf numFmtId="0" fontId="3" fillId="0" borderId="1" xfId="0" applyFont="1" applyFill="1" applyBorder="1" applyAlignment="1">
      <alignment horizontal="center" vertical="center" wrapText="1"/>
    </xf>
    <xf numFmtId="0" fontId="7" fillId="5" borderId="0" xfId="0" applyFont="1" applyFill="1" applyAlignment="1"/>
    <xf numFmtId="0" fontId="7" fillId="5" borderId="0" xfId="0" applyFont="1" applyFill="1" applyAlignment="1">
      <alignment horizont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165" fontId="0" fillId="5" borderId="1" xfId="0" applyNumberFormat="1" applyFont="1" applyFill="1" applyBorder="1"/>
    <xf numFmtId="165" fontId="7" fillId="5" borderId="1" xfId="0" applyNumberFormat="1" applyFont="1" applyFill="1" applyBorder="1" applyAlignment="1">
      <alignment vertical="center"/>
    </xf>
    <xf numFmtId="165" fontId="2" fillId="5" borderId="3" xfId="0" applyNumberFormat="1" applyFont="1" applyFill="1" applyBorder="1" applyAlignment="1">
      <alignment horizontal="right" vertical="center"/>
    </xf>
    <xf numFmtId="49" fontId="3" fillId="5" borderId="6" xfId="0" applyNumberFormat="1" applyFont="1" applyFill="1" applyBorder="1" applyAlignment="1">
      <alignment horizontal="center" vertical="center" wrapText="1"/>
    </xf>
    <xf numFmtId="0" fontId="14" fillId="0" borderId="0" xfId="0" applyFont="1" applyFill="1" applyAlignment="1"/>
    <xf numFmtId="0" fontId="3" fillId="0" borderId="8" xfId="0" applyFont="1" applyFill="1" applyBorder="1" applyAlignment="1">
      <alignment vertical="center" wrapText="1"/>
    </xf>
    <xf numFmtId="0" fontId="3" fillId="0" borderId="6" xfId="0" applyFont="1" applyFill="1" applyBorder="1" applyAlignment="1">
      <alignment horizontal="center"/>
    </xf>
    <xf numFmtId="49" fontId="3" fillId="0" borderId="6" xfId="0" applyNumberFormat="1" applyFont="1" applyFill="1" applyBorder="1" applyAlignment="1">
      <alignment horizontal="center" vertical="center" wrapText="1"/>
    </xf>
    <xf numFmtId="0" fontId="7" fillId="0" borderId="0" xfId="0" applyFont="1" applyFill="1" applyAlignment="1">
      <alignment horizont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pplyAlignment="1">
      <alignment horizontal="center"/>
    </xf>
    <xf numFmtId="0" fontId="3" fillId="0" borderId="1" xfId="0" applyFont="1" applyBorder="1" applyAlignment="1">
      <alignment horizontal="center" vertical="center"/>
    </xf>
    <xf numFmtId="0" fontId="7" fillId="0" borderId="0" xfId="0" applyFont="1" applyFill="1" applyAlignment="1">
      <alignment horizontal="center"/>
    </xf>
    <xf numFmtId="0" fontId="3" fillId="0" borderId="0" xfId="0" applyFont="1" applyBorder="1" applyAlignment="1">
      <alignment horizontal="center"/>
    </xf>
    <xf numFmtId="0" fontId="7" fillId="0" borderId="0" xfId="0" applyFont="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7" fillId="0" borderId="2" xfId="0" applyFont="1" applyBorder="1" applyAlignment="1">
      <alignment horizontal="center"/>
    </xf>
    <xf numFmtId="0" fontId="7" fillId="0" borderId="0" xfId="0" applyFont="1" applyFill="1" applyAlignment="1">
      <alignment horizontal="center"/>
    </xf>
    <xf numFmtId="0" fontId="0" fillId="0" borderId="2" xfId="0" applyBorder="1" applyAlignment="1">
      <alignment horizontal="center"/>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0" xfId="0" applyAlignment="1">
      <alignment horizontal="left"/>
    </xf>
    <xf numFmtId="0" fontId="14" fillId="0" borderId="0" xfId="0" applyFont="1" applyAlignment="1">
      <alignment horizontal="center"/>
    </xf>
    <xf numFmtId="0" fontId="13" fillId="0" borderId="2" xfId="0" applyFont="1" applyBorder="1" applyAlignment="1">
      <alignment horizontal="center" vertical="top"/>
    </xf>
    <xf numFmtId="0" fontId="7" fillId="5" borderId="0" xfId="0" applyFont="1" applyFill="1" applyAlignment="1">
      <alignment horizontal="center"/>
    </xf>
    <xf numFmtId="0" fontId="0" fillId="0" borderId="0" xfId="0" applyAlignment="1">
      <alignment horizont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5" fillId="2" borderId="0"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1" xfId="0" applyFont="1" applyFill="1" applyBorder="1" applyAlignment="1">
      <alignment horizontal="center" vertical="center"/>
    </xf>
    <xf numFmtId="0" fontId="2" fillId="0" borderId="0" xfId="0" applyFont="1" applyAlignment="1">
      <alignment horizontal="left"/>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1" xfId="0" applyFont="1" applyBorder="1" applyAlignment="1">
      <alignment vertical="center" wrapText="1"/>
    </xf>
    <xf numFmtId="0" fontId="23" fillId="0" borderId="3" xfId="0" applyFont="1" applyBorder="1" applyAlignment="1">
      <alignment horizontal="left" vertical="center" wrapText="1"/>
    </xf>
    <xf numFmtId="0" fontId="23" fillId="0" borderId="7" xfId="0" applyFont="1" applyBorder="1" applyAlignment="1">
      <alignment horizontal="left" vertical="center" wrapText="1"/>
    </xf>
    <xf numFmtId="0" fontId="23" fillId="0" borderId="5" xfId="0" applyFont="1" applyBorder="1" applyAlignment="1">
      <alignment horizontal="left" vertical="center" wrapText="1"/>
    </xf>
    <xf numFmtId="0" fontId="22" fillId="0" borderId="1" xfId="0" applyFont="1" applyBorder="1" applyAlignment="1">
      <alignment horizontal="left" vertical="center" wrapText="1"/>
    </xf>
  </cellXfs>
  <cellStyles count="3">
    <cellStyle name="Обычный" xfId="0" builtinId="0"/>
    <cellStyle name="Обычный 2" xfId="1"/>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0"/>
  <sheetViews>
    <sheetView tabSelected="1" view="pageBreakPreview" zoomScale="80" zoomScaleNormal="90" zoomScaleSheetLayoutView="80" workbookViewId="0">
      <pane xSplit="2" ySplit="6" topLeftCell="C7" activePane="bottomRight" state="frozen"/>
      <selection pane="topRight" activeCell="C1" sqref="C1"/>
      <selection pane="bottomLeft" activeCell="A7" sqref="A7"/>
      <selection pane="bottomRight" activeCell="A82" sqref="A82:XFD82"/>
    </sheetView>
  </sheetViews>
  <sheetFormatPr defaultColWidth="9.140625" defaultRowHeight="12.75" x14ac:dyDescent="0.2"/>
  <cols>
    <col min="1" max="1" width="45.140625" customWidth="1"/>
    <col min="2" max="2" width="6.42578125" customWidth="1"/>
    <col min="3" max="3" width="32.28515625" customWidth="1"/>
    <col min="4" max="4" width="9.140625" customWidth="1"/>
    <col min="5" max="5" width="10.28515625" customWidth="1"/>
    <col min="6" max="6" width="32.42578125" customWidth="1"/>
    <col min="7" max="7" width="7.140625" customWidth="1"/>
    <col min="8" max="8" width="10.85546875" customWidth="1"/>
    <col min="9" max="9" width="41.85546875" customWidth="1"/>
    <col min="10" max="11" width="10.85546875" customWidth="1"/>
    <col min="12" max="12" width="7" customWidth="1"/>
    <col min="13" max="13" width="12.5703125" customWidth="1"/>
    <col min="14" max="14" width="11.42578125" customWidth="1"/>
    <col min="15" max="15" width="12.5703125" customWidth="1"/>
    <col min="16" max="16" width="13" bestFit="1" customWidth="1"/>
    <col min="17" max="17" width="12.42578125" bestFit="1" customWidth="1"/>
    <col min="18" max="18" width="9.42578125" customWidth="1"/>
  </cols>
  <sheetData>
    <row r="1" spans="1:17" x14ac:dyDescent="0.2">
      <c r="A1" s="193" t="s">
        <v>663</v>
      </c>
      <c r="B1" s="193"/>
      <c r="C1" s="193"/>
      <c r="D1" s="193"/>
      <c r="E1" s="193"/>
      <c r="F1" s="193"/>
      <c r="G1" s="193"/>
      <c r="H1" s="193"/>
      <c r="I1" s="193"/>
      <c r="J1" s="193"/>
      <c r="K1" s="193"/>
      <c r="L1" s="193"/>
      <c r="M1" s="193"/>
      <c r="N1" s="193"/>
      <c r="O1" s="193"/>
      <c r="P1" s="193"/>
      <c r="Q1" s="15"/>
    </row>
    <row r="2" spans="1:17" x14ac:dyDescent="0.2">
      <c r="A2" s="144"/>
      <c r="B2" s="144"/>
      <c r="C2" s="144"/>
      <c r="D2" s="144"/>
      <c r="E2" s="144"/>
      <c r="F2" s="144"/>
      <c r="G2" s="144"/>
      <c r="H2" s="144"/>
      <c r="I2" s="144"/>
      <c r="J2" s="204"/>
      <c r="K2" s="204"/>
      <c r="L2" s="204"/>
      <c r="M2" s="204"/>
      <c r="N2" s="204"/>
      <c r="O2" s="204"/>
      <c r="P2" s="204"/>
      <c r="Q2" s="204"/>
    </row>
    <row r="3" spans="1:17" ht="22.5" customHeight="1" x14ac:dyDescent="0.2">
      <c r="A3" s="194" t="s">
        <v>13</v>
      </c>
      <c r="B3" s="195" t="s">
        <v>9</v>
      </c>
      <c r="C3" s="197" t="s">
        <v>12</v>
      </c>
      <c r="D3" s="198"/>
      <c r="E3" s="198"/>
      <c r="F3" s="198"/>
      <c r="G3" s="198"/>
      <c r="H3" s="198"/>
      <c r="I3" s="199"/>
      <c r="J3" s="2"/>
      <c r="K3" s="2"/>
      <c r="L3" s="194" t="s">
        <v>2</v>
      </c>
      <c r="M3" s="194" t="s">
        <v>1</v>
      </c>
      <c r="N3" s="194"/>
      <c r="O3" s="194"/>
      <c r="P3" s="194"/>
      <c r="Q3" s="194"/>
    </row>
    <row r="4" spans="1:17" ht="28.5" customHeight="1" x14ac:dyDescent="0.2">
      <c r="A4" s="194"/>
      <c r="B4" s="195"/>
      <c r="C4" s="196" t="s">
        <v>8</v>
      </c>
      <c r="D4" s="196"/>
      <c r="E4" s="196"/>
      <c r="F4" s="196" t="s">
        <v>5</v>
      </c>
      <c r="G4" s="196"/>
      <c r="H4" s="196"/>
      <c r="I4" s="196" t="s">
        <v>179</v>
      </c>
      <c r="J4" s="196"/>
      <c r="K4" s="196"/>
      <c r="L4" s="194"/>
      <c r="M4" s="197" t="s">
        <v>787</v>
      </c>
      <c r="N4" s="199"/>
      <c r="O4" s="200" t="s">
        <v>788</v>
      </c>
      <c r="P4" s="202" t="s">
        <v>311</v>
      </c>
      <c r="Q4" s="203"/>
    </row>
    <row r="5" spans="1:17" ht="48.75" customHeight="1" x14ac:dyDescent="0.2">
      <c r="A5" s="194"/>
      <c r="B5" s="195"/>
      <c r="C5" s="4" t="s">
        <v>14</v>
      </c>
      <c r="D5" s="4" t="s">
        <v>6</v>
      </c>
      <c r="E5" s="4" t="s">
        <v>7</v>
      </c>
      <c r="F5" s="4" t="s">
        <v>14</v>
      </c>
      <c r="G5" s="4" t="s">
        <v>6</v>
      </c>
      <c r="H5" s="4" t="s">
        <v>7</v>
      </c>
      <c r="I5" s="4" t="s">
        <v>14</v>
      </c>
      <c r="J5" s="4" t="s">
        <v>6</v>
      </c>
      <c r="K5" s="4" t="s">
        <v>7</v>
      </c>
      <c r="L5" s="2" t="s">
        <v>273</v>
      </c>
      <c r="M5" s="2" t="s">
        <v>309</v>
      </c>
      <c r="N5" s="2" t="s">
        <v>310</v>
      </c>
      <c r="O5" s="201"/>
      <c r="P5" s="2" t="s">
        <v>789</v>
      </c>
      <c r="Q5" s="2" t="s">
        <v>790</v>
      </c>
    </row>
    <row r="6" spans="1:17" s="1" customFormat="1" x14ac:dyDescent="0.2">
      <c r="A6" s="3">
        <v>1</v>
      </c>
      <c r="B6" s="3">
        <v>2</v>
      </c>
      <c r="C6" s="3">
        <v>3</v>
      </c>
      <c r="D6" s="3">
        <v>4</v>
      </c>
      <c r="E6" s="3">
        <v>5</v>
      </c>
      <c r="F6" s="3">
        <v>6</v>
      </c>
      <c r="G6" s="3">
        <v>7</v>
      </c>
      <c r="H6" s="3">
        <v>8</v>
      </c>
      <c r="I6" s="3">
        <v>9</v>
      </c>
      <c r="J6" s="3">
        <v>10</v>
      </c>
      <c r="K6" s="3">
        <v>11</v>
      </c>
      <c r="L6" s="3">
        <v>12</v>
      </c>
      <c r="M6" s="3">
        <v>14</v>
      </c>
      <c r="N6" s="3">
        <v>15</v>
      </c>
      <c r="O6" s="3">
        <v>17</v>
      </c>
      <c r="P6" s="3">
        <v>18</v>
      </c>
      <c r="Q6" s="3">
        <v>19</v>
      </c>
    </row>
    <row r="7" spans="1:17" ht="42" x14ac:dyDescent="0.2">
      <c r="A7" s="60" t="s">
        <v>316</v>
      </c>
      <c r="B7" s="61" t="s">
        <v>315</v>
      </c>
      <c r="C7" s="60" t="s">
        <v>10</v>
      </c>
      <c r="D7" s="61" t="s">
        <v>10</v>
      </c>
      <c r="E7" s="61" t="s">
        <v>10</v>
      </c>
      <c r="F7" s="60" t="s">
        <v>10</v>
      </c>
      <c r="G7" s="61" t="s">
        <v>10</v>
      </c>
      <c r="H7" s="61" t="s">
        <v>10</v>
      </c>
      <c r="I7" s="60" t="s">
        <v>10</v>
      </c>
      <c r="J7" s="61" t="s">
        <v>10</v>
      </c>
      <c r="K7" s="61" t="s">
        <v>10</v>
      </c>
      <c r="L7" s="61" t="s">
        <v>10</v>
      </c>
      <c r="M7" s="62">
        <f t="shared" ref="M7:O7" si="0">M8+M40+M49+M54+M73+M76+M79</f>
        <v>923963.7</v>
      </c>
      <c r="N7" s="62">
        <f t="shared" si="0"/>
        <v>849076.86</v>
      </c>
      <c r="O7" s="62">
        <f t="shared" si="0"/>
        <v>874748.28</v>
      </c>
      <c r="P7" s="62">
        <f>P8+P40+P49+P54+P73+P76</f>
        <v>802554.70000000007</v>
      </c>
      <c r="Q7" s="62">
        <f>Q8+Q40+Q49+Q54+Q73+Q76</f>
        <v>853459.8</v>
      </c>
    </row>
    <row r="8" spans="1:17" ht="52.5" x14ac:dyDescent="0.2">
      <c r="A8" s="60" t="s">
        <v>317</v>
      </c>
      <c r="B8" s="64">
        <v>2501</v>
      </c>
      <c r="C8" s="63" t="s">
        <v>10</v>
      </c>
      <c r="D8" s="64" t="s">
        <v>10</v>
      </c>
      <c r="E8" s="64" t="s">
        <v>10</v>
      </c>
      <c r="F8" s="63" t="s">
        <v>10</v>
      </c>
      <c r="G8" s="64" t="s">
        <v>10</v>
      </c>
      <c r="H8" s="64" t="s">
        <v>10</v>
      </c>
      <c r="I8" s="63" t="s">
        <v>10</v>
      </c>
      <c r="J8" s="64" t="s">
        <v>10</v>
      </c>
      <c r="K8" s="64" t="s">
        <v>10</v>
      </c>
      <c r="L8" s="64" t="s">
        <v>10</v>
      </c>
      <c r="M8" s="62">
        <f t="shared" ref="M8:Q8" si="1">SUM(M9:M39)</f>
        <v>482227.6</v>
      </c>
      <c r="N8" s="62">
        <f t="shared" si="1"/>
        <v>413244.4</v>
      </c>
      <c r="O8" s="62">
        <f t="shared" si="1"/>
        <v>433056.60000000003</v>
      </c>
      <c r="P8" s="62">
        <f t="shared" si="1"/>
        <v>371040.80000000005</v>
      </c>
      <c r="Q8" s="62">
        <f t="shared" si="1"/>
        <v>425457.2</v>
      </c>
    </row>
    <row r="9" spans="1:17" ht="144.75" hidden="1" customHeight="1" x14ac:dyDescent="0.2">
      <c r="A9" s="86" t="s">
        <v>439</v>
      </c>
      <c r="B9" s="104">
        <v>2502</v>
      </c>
      <c r="C9" s="21" t="s">
        <v>517</v>
      </c>
      <c r="D9" s="21" t="s">
        <v>518</v>
      </c>
      <c r="E9" s="21" t="s">
        <v>464</v>
      </c>
      <c r="F9" s="21" t="s">
        <v>599</v>
      </c>
      <c r="G9" s="21" t="s">
        <v>466</v>
      </c>
      <c r="H9" s="21" t="s">
        <v>600</v>
      </c>
      <c r="I9" s="75" t="s">
        <v>654</v>
      </c>
      <c r="J9" s="75" t="s">
        <v>183</v>
      </c>
      <c r="K9" s="75" t="s">
        <v>648</v>
      </c>
      <c r="L9" s="152" t="s">
        <v>598</v>
      </c>
      <c r="M9" s="108">
        <f>Дума!N10</f>
        <v>0</v>
      </c>
      <c r="N9" s="108">
        <f>Дума!Q10</f>
        <v>0</v>
      </c>
      <c r="O9" s="149">
        <f>АДМИНИСТРАЦИЯ!BJ10+Дума!T10+ФУ!T10</f>
        <v>0</v>
      </c>
      <c r="P9" s="108">
        <f>АДМИНИСТРАЦИЯ!CG10+Дума!W10+ФУ!X10</f>
        <v>0</v>
      </c>
      <c r="Q9" s="108">
        <f>АДМИНИСТРАЦИЯ!DC10+Дума!Y10+ФУ!AB10</f>
        <v>0</v>
      </c>
    </row>
    <row r="10" spans="1:17" ht="163.5" customHeight="1" x14ac:dyDescent="0.2">
      <c r="A10" s="86" t="s">
        <v>440</v>
      </c>
      <c r="B10" s="104">
        <v>2504</v>
      </c>
      <c r="C10" s="21" t="s">
        <v>601</v>
      </c>
      <c r="D10" s="21" t="s">
        <v>602</v>
      </c>
      <c r="E10" s="21" t="s">
        <v>579</v>
      </c>
      <c r="F10" s="21" t="s">
        <v>650</v>
      </c>
      <c r="G10" s="21" t="s">
        <v>104</v>
      </c>
      <c r="H10" s="21" t="s">
        <v>651</v>
      </c>
      <c r="I10" s="75" t="s">
        <v>675</v>
      </c>
      <c r="J10" s="75" t="s">
        <v>676</v>
      </c>
      <c r="K10" s="75" t="s">
        <v>677</v>
      </c>
      <c r="L10" s="152" t="s">
        <v>678</v>
      </c>
      <c r="M10" s="108">
        <f>АДМИНИСТРАЦИЯ!N11</f>
        <v>2414</v>
      </c>
      <c r="N10" s="108">
        <f>АДМИНИСТРАЦИЯ!AL11</f>
        <v>2131.4</v>
      </c>
      <c r="O10" s="108">
        <f>АДМИНИСТРАЦИЯ!BJ11</f>
        <v>2275.3000000000002</v>
      </c>
      <c r="P10" s="108">
        <f>АДМИНИСТРАЦИЯ!CG11</f>
        <v>1543</v>
      </c>
      <c r="Q10" s="108">
        <f>АДМИНИСТРАЦИЯ!DC11</f>
        <v>1604.4</v>
      </c>
    </row>
    <row r="11" spans="1:17" ht="206.25" customHeight="1" x14ac:dyDescent="0.2">
      <c r="A11" s="86" t="s">
        <v>441</v>
      </c>
      <c r="B11" s="74">
        <v>2505</v>
      </c>
      <c r="C11" s="21" t="s">
        <v>519</v>
      </c>
      <c r="D11" s="21" t="s">
        <v>520</v>
      </c>
      <c r="E11" s="21" t="s">
        <v>521</v>
      </c>
      <c r="F11" s="21" t="s">
        <v>783</v>
      </c>
      <c r="G11" s="21" t="s">
        <v>784</v>
      </c>
      <c r="H11" s="21" t="s">
        <v>785</v>
      </c>
      <c r="I11" s="75" t="s">
        <v>679</v>
      </c>
      <c r="J11" s="75" t="s">
        <v>680</v>
      </c>
      <c r="K11" s="75" t="s">
        <v>681</v>
      </c>
      <c r="L11" s="152" t="s">
        <v>682</v>
      </c>
      <c r="M11" s="108">
        <f>АДМИНИСТРАЦИЯ!N12</f>
        <v>10818.999999999998</v>
      </c>
      <c r="N11" s="108">
        <f>АДМИНИСТРАЦИЯ!AL12</f>
        <v>8785.7000000000007</v>
      </c>
      <c r="O11" s="108">
        <f>АДМИНИСТРАЦИЯ!BJ12</f>
        <v>9921.7999999999993</v>
      </c>
      <c r="P11" s="108">
        <f>АДМИНИСТРАЦИЯ!CG12</f>
        <v>9563.6</v>
      </c>
      <c r="Q11" s="108">
        <f>АДМИНИСТРАЦИЯ!DC12</f>
        <v>3939.9</v>
      </c>
    </row>
    <row r="12" spans="1:17" ht="211.5" customHeight="1" x14ac:dyDescent="0.2">
      <c r="A12" s="86" t="s">
        <v>321</v>
      </c>
      <c r="B12" s="104">
        <v>2507</v>
      </c>
      <c r="C12" s="21" t="s">
        <v>60</v>
      </c>
      <c r="D12" s="21" t="s">
        <v>522</v>
      </c>
      <c r="E12" s="21" t="s">
        <v>523</v>
      </c>
      <c r="F12" s="21" t="s">
        <v>780</v>
      </c>
      <c r="G12" s="21" t="s">
        <v>781</v>
      </c>
      <c r="H12" s="21" t="s">
        <v>782</v>
      </c>
      <c r="I12" s="75" t="s">
        <v>510</v>
      </c>
      <c r="J12" s="75" t="s">
        <v>503</v>
      </c>
      <c r="K12" s="75" t="s">
        <v>524</v>
      </c>
      <c r="L12" s="159" t="s">
        <v>277</v>
      </c>
      <c r="M12" s="108">
        <f>АДМИНИСТРАЦИЯ!N13</f>
        <v>93504.2</v>
      </c>
      <c r="N12" s="108">
        <f>АДМИНИСТРАЦИЯ!AL13</f>
        <v>89600.5</v>
      </c>
      <c r="O12" s="108">
        <f>АДМИНИСТРАЦИЯ!BJ13</f>
        <v>59296.5</v>
      </c>
      <c r="P12" s="108">
        <f>АДМИНИСТРАЦИЯ!CG13</f>
        <v>61874.1</v>
      </c>
      <c r="Q12" s="108">
        <f>АДМИНИСТРАЦИЯ!DC13</f>
        <v>60409.8</v>
      </c>
    </row>
    <row r="13" spans="1:17" ht="300.75" customHeight="1" x14ac:dyDescent="0.2">
      <c r="A13" s="86" t="s">
        <v>322</v>
      </c>
      <c r="B13" s="104">
        <v>2508</v>
      </c>
      <c r="C13" s="21" t="s">
        <v>56</v>
      </c>
      <c r="D13" s="21" t="s">
        <v>442</v>
      </c>
      <c r="E13" s="21" t="s">
        <v>154</v>
      </c>
      <c r="F13" s="21" t="s">
        <v>777</v>
      </c>
      <c r="G13" s="21" t="s">
        <v>778</v>
      </c>
      <c r="H13" s="21" t="s">
        <v>779</v>
      </c>
      <c r="I13" s="102" t="s">
        <v>683</v>
      </c>
      <c r="J13" s="102" t="s">
        <v>684</v>
      </c>
      <c r="K13" s="102" t="s">
        <v>685</v>
      </c>
      <c r="L13" s="152" t="s">
        <v>511</v>
      </c>
      <c r="M13" s="108">
        <f>АДМИНИСТРАЦИЯ!N14</f>
        <v>23975.5</v>
      </c>
      <c r="N13" s="108">
        <f>АДМИНИСТРАЦИЯ!AL14</f>
        <v>12879.8</v>
      </c>
      <c r="O13" s="108">
        <f>АДМИНИСТРАЦИЯ!BJ14</f>
        <v>12461.4</v>
      </c>
      <c r="P13" s="108">
        <f>АДМИНИСТРАЦИЯ!CG14</f>
        <v>11191</v>
      </c>
      <c r="Q13" s="108">
        <f>АДМИНИСТРАЦИЯ!DC14</f>
        <v>22953.799999999996</v>
      </c>
    </row>
    <row r="14" spans="1:17" ht="218.25" customHeight="1" x14ac:dyDescent="0.2">
      <c r="A14" s="86" t="s">
        <v>323</v>
      </c>
      <c r="B14" s="74">
        <v>2511</v>
      </c>
      <c r="C14" s="21" t="s">
        <v>56</v>
      </c>
      <c r="D14" s="21" t="s">
        <v>443</v>
      </c>
      <c r="E14" s="21" t="s">
        <v>154</v>
      </c>
      <c r="F14" s="22" t="s">
        <v>65</v>
      </c>
      <c r="G14" s="22" t="s">
        <v>63</v>
      </c>
      <c r="H14" s="22" t="s">
        <v>66</v>
      </c>
      <c r="I14" s="38" t="s">
        <v>686</v>
      </c>
      <c r="J14" s="38" t="s">
        <v>218</v>
      </c>
      <c r="K14" s="38" t="s">
        <v>687</v>
      </c>
      <c r="L14" s="159" t="s">
        <v>278</v>
      </c>
      <c r="M14" s="108">
        <f>АДМИНИСТРАЦИЯ!N15</f>
        <v>3173.9</v>
      </c>
      <c r="N14" s="108">
        <f>АДМИНИСТРАЦИЯ!AL15</f>
        <v>3168.3</v>
      </c>
      <c r="O14" s="108">
        <f>АДМИНИСТРАЦИЯ!BJ15</f>
        <v>3367.5</v>
      </c>
      <c r="P14" s="108">
        <f>АДМИНИСТРАЦИЯ!CG15</f>
        <v>3502.2</v>
      </c>
      <c r="Q14" s="108">
        <f>АДМИНИСТРАЦИЯ!DC15</f>
        <v>3642.3</v>
      </c>
    </row>
    <row r="15" spans="1:17" ht="237" customHeight="1" x14ac:dyDescent="0.2">
      <c r="A15" s="86" t="s">
        <v>324</v>
      </c>
      <c r="B15" s="104">
        <v>2515</v>
      </c>
      <c r="C15" s="21" t="s">
        <v>525</v>
      </c>
      <c r="D15" s="21" t="s">
        <v>526</v>
      </c>
      <c r="E15" s="21" t="s">
        <v>527</v>
      </c>
      <c r="F15" s="21" t="s">
        <v>633</v>
      </c>
      <c r="G15" s="36" t="s">
        <v>635</v>
      </c>
      <c r="H15" s="21" t="s">
        <v>634</v>
      </c>
      <c r="I15" s="75" t="s">
        <v>688</v>
      </c>
      <c r="J15" s="38" t="s">
        <v>689</v>
      </c>
      <c r="K15" s="38" t="s">
        <v>690</v>
      </c>
      <c r="L15" s="159" t="s">
        <v>279</v>
      </c>
      <c r="M15" s="108">
        <f>АДМИНИСТРАЦИЯ!N16+'ОТДЕЛ ОБРАЗОВАНИЯ'!N10+'ОТДЕЛ КУЛЬТУРЫ'!N10</f>
        <v>594</v>
      </c>
      <c r="N15" s="108">
        <f>АДМИНИСТРАЦИЯ!AL16+'ОТДЕЛ ОБРАЗОВАНИЯ'!Z10+'ОТДЕЛ КУЛЬТУРЫ'!X10</f>
        <v>531.4</v>
      </c>
      <c r="O15" s="108">
        <f>АДМИНИСТРАЦИЯ!BJ16+'ОТДЕЛ ОБРАЗОВАНИЯ'!AL10+'ОТДЕЛ КУЛЬТУРЫ'!AH10</f>
        <v>613.20000000000005</v>
      </c>
      <c r="P15" s="108">
        <f>АДМИНИСТРАЦИЯ!CG16+'ОТДЕЛ ОБРАЗОВАНИЯ'!AW10+'ОТДЕЛ КУЛЬТУРЫ'!AR10</f>
        <v>637.6</v>
      </c>
      <c r="Q15" s="108">
        <f>АДМИНИСТРАЦИЯ!DC16+'ОТДЕЛ ОБРАЗОВАНИЯ'!BH10+'ОТДЕЛ КУЛЬТУРЫ'!BB10</f>
        <v>663.2</v>
      </c>
    </row>
    <row r="16" spans="1:17" ht="120" x14ac:dyDescent="0.2">
      <c r="A16" s="86" t="s">
        <v>325</v>
      </c>
      <c r="B16" s="104">
        <v>2517</v>
      </c>
      <c r="C16" s="21" t="s">
        <v>70</v>
      </c>
      <c r="D16" s="21" t="s">
        <v>444</v>
      </c>
      <c r="E16" s="21" t="s">
        <v>158</v>
      </c>
      <c r="F16" s="34" t="s">
        <v>138</v>
      </c>
      <c r="G16" s="34" t="s">
        <v>127</v>
      </c>
      <c r="H16" s="34" t="s">
        <v>159</v>
      </c>
      <c r="I16" s="102" t="s">
        <v>691</v>
      </c>
      <c r="J16" s="102" t="s">
        <v>692</v>
      </c>
      <c r="K16" s="102" t="s">
        <v>693</v>
      </c>
      <c r="L16" s="152" t="s">
        <v>694</v>
      </c>
      <c r="M16" s="108">
        <f>АДМИНИСТРАЦИЯ!N17+ФУ!N11</f>
        <v>15542.5</v>
      </c>
      <c r="N16" s="108">
        <f>АДМИНИСТРАЦИЯ!AL17+ФУ!Q11</f>
        <v>15349.9</v>
      </c>
      <c r="O16" s="149">
        <f>АДМИНИСТРАЦИЯ!BJ17+ФУ!T11</f>
        <v>16602.2</v>
      </c>
      <c r="P16" s="108">
        <f>АДМИНИСТРАЦИЯ!CG17+ФУ!X11</f>
        <v>16613.7</v>
      </c>
      <c r="Q16" s="108">
        <f>АДМИНИСТРАЦИЯ!DC17+ФУ!AB11</f>
        <v>16625.8</v>
      </c>
    </row>
    <row r="17" spans="1:17" ht="108" x14ac:dyDescent="0.2">
      <c r="A17" s="86" t="s">
        <v>326</v>
      </c>
      <c r="B17" s="104">
        <v>2520</v>
      </c>
      <c r="C17" s="21" t="s">
        <v>528</v>
      </c>
      <c r="D17" s="21" t="s">
        <v>500</v>
      </c>
      <c r="E17" s="21" t="s">
        <v>501</v>
      </c>
      <c r="F17" s="34" t="s">
        <v>621</v>
      </c>
      <c r="G17" s="34" t="s">
        <v>622</v>
      </c>
      <c r="H17" s="34" t="s">
        <v>623</v>
      </c>
      <c r="I17" s="102" t="s">
        <v>618</v>
      </c>
      <c r="J17" s="102" t="s">
        <v>619</v>
      </c>
      <c r="K17" s="102" t="s">
        <v>620</v>
      </c>
      <c r="L17" s="159" t="s">
        <v>502</v>
      </c>
      <c r="M17" s="108">
        <f>АДМИНИСТРАЦИЯ!N18</f>
        <v>3922.7</v>
      </c>
      <c r="N17" s="108">
        <f>АДМИНИСТРАЦИЯ!AL18</f>
        <v>3922.2</v>
      </c>
      <c r="O17" s="108">
        <f>АДМИНИСТРАЦИЯ!BJ18</f>
        <v>4414.3999999999996</v>
      </c>
      <c r="P17" s="108">
        <f>АДМИНИСТРАЦИЯ!CG18</f>
        <v>3980.8</v>
      </c>
      <c r="Q17" s="108">
        <f>АДМИНИСТРАЦИЯ!DC18</f>
        <v>4041.9</v>
      </c>
    </row>
    <row r="18" spans="1:17" ht="96" x14ac:dyDescent="0.2">
      <c r="A18" s="86" t="s">
        <v>327</v>
      </c>
      <c r="B18" s="104">
        <v>2521</v>
      </c>
      <c r="C18" s="21" t="s">
        <v>71</v>
      </c>
      <c r="D18" s="21" t="s">
        <v>445</v>
      </c>
      <c r="E18" s="21" t="s">
        <v>529</v>
      </c>
      <c r="F18" s="21" t="s">
        <v>73</v>
      </c>
      <c r="G18" s="21" t="s">
        <v>74</v>
      </c>
      <c r="H18" s="21" t="s">
        <v>530</v>
      </c>
      <c r="I18" s="75" t="s">
        <v>695</v>
      </c>
      <c r="J18" s="38" t="s">
        <v>466</v>
      </c>
      <c r="K18" s="38" t="s">
        <v>696</v>
      </c>
      <c r="L18" s="153" t="s">
        <v>280</v>
      </c>
      <c r="M18" s="108">
        <f>'ОТДЕЛ ОБРАЗОВАНИЯ'!N11</f>
        <v>15.2</v>
      </c>
      <c r="N18" s="108">
        <f>'ОТДЕЛ ОБРАЗОВАНИЯ'!Z11</f>
        <v>15.2</v>
      </c>
      <c r="O18" s="108">
        <f>'ОТДЕЛ ОБРАЗОВАНИЯ'!AL11+АДМИНИСТРАЦИЯ!BJ19</f>
        <v>0</v>
      </c>
      <c r="P18" s="108">
        <f>'ОТДЕЛ ОБРАЗОВАНИЯ'!AW11+АДМИНИСТРАЦИЯ!CG19</f>
        <v>0</v>
      </c>
      <c r="Q18" s="108">
        <f>'ОТДЕЛ ОБРАЗОВАНИЯ'!BH11+АДМИНИСТРАЦИЯ!DC19</f>
        <v>0</v>
      </c>
    </row>
    <row r="19" spans="1:17" ht="192" x14ac:dyDescent="0.2">
      <c r="A19" s="86" t="s">
        <v>328</v>
      </c>
      <c r="B19" s="74">
        <v>2522</v>
      </c>
      <c r="C19" s="21" t="s">
        <v>75</v>
      </c>
      <c r="D19" s="21" t="s">
        <v>446</v>
      </c>
      <c r="E19" s="21" t="s">
        <v>531</v>
      </c>
      <c r="F19" s="21" t="s">
        <v>774</v>
      </c>
      <c r="G19" s="21" t="s">
        <v>775</v>
      </c>
      <c r="H19" s="21" t="s">
        <v>776</v>
      </c>
      <c r="I19" s="75" t="s">
        <v>697</v>
      </c>
      <c r="J19" s="75" t="s">
        <v>188</v>
      </c>
      <c r="K19" s="75" t="s">
        <v>698</v>
      </c>
      <c r="L19" s="153" t="s">
        <v>281</v>
      </c>
      <c r="M19" s="108">
        <f>'ОТДЕЛ ОБРАЗОВАНИЯ'!N12</f>
        <v>33596.899999999994</v>
      </c>
      <c r="N19" s="108">
        <f>'ОТДЕЛ ОБРАЗОВАНИЯ'!Z12</f>
        <v>33362.1</v>
      </c>
      <c r="O19" s="108">
        <f>АДМИНИСТРАЦИЯ!BJ20+'ОТДЕЛ ОБРАЗОВАНИЯ'!AL12</f>
        <v>34055.800000000003</v>
      </c>
      <c r="P19" s="108">
        <f>АДМИНИСТРАЦИЯ!CG20+'ОТДЕЛ ОБРАЗОВАНИЯ'!AW12</f>
        <v>31671</v>
      </c>
      <c r="Q19" s="108">
        <f>АДМИНИСТРАЦИЯ!DC20+'ОТДЕЛ ОБРАЗОВАНИЯ'!BH12</f>
        <v>32139.3</v>
      </c>
    </row>
    <row r="20" spans="1:17" ht="238.5" customHeight="1" x14ac:dyDescent="0.2">
      <c r="A20" s="86" t="s">
        <v>329</v>
      </c>
      <c r="B20" s="74">
        <v>2524</v>
      </c>
      <c r="C20" s="21" t="s">
        <v>75</v>
      </c>
      <c r="D20" s="21" t="s">
        <v>446</v>
      </c>
      <c r="E20" s="21" t="s">
        <v>531</v>
      </c>
      <c r="F20" s="21" t="s">
        <v>771</v>
      </c>
      <c r="G20" s="21" t="s">
        <v>772</v>
      </c>
      <c r="H20" s="21" t="s">
        <v>773</v>
      </c>
      <c r="I20" s="75" t="s">
        <v>699</v>
      </c>
      <c r="J20" s="75" t="s">
        <v>227</v>
      </c>
      <c r="K20" s="75" t="s">
        <v>700</v>
      </c>
      <c r="L20" s="154" t="s">
        <v>701</v>
      </c>
      <c r="M20" s="108">
        <f>АДМИНИСТРАЦИЯ!N21+'ОТДЕЛ ОБРАЗОВАНИЯ'!N13</f>
        <v>124248.1</v>
      </c>
      <c r="N20" s="108">
        <f>АДМИНИСТРАЦИЯ!AL21+'ОТДЕЛ ОБРАЗОВАНИЯ'!Z13</f>
        <v>73629.900000000009</v>
      </c>
      <c r="O20" s="108">
        <f>АДМИНИСТРАЦИЯ!BJ21+'ОТДЕЛ ОБРАЗОВАНИЯ'!AL13</f>
        <v>137597.09999999998</v>
      </c>
      <c r="P20" s="108">
        <f>АДМИНИСТРАЦИЯ!CG21+'ОТДЕЛ ОБРАЗОВАНИЯ'!AW13</f>
        <v>82310</v>
      </c>
      <c r="Q20" s="108">
        <f>АДМИНИСТРАЦИЯ!DC21+'ОТДЕЛ ОБРАЗОВАНИЯ'!BH13</f>
        <v>123683.9</v>
      </c>
    </row>
    <row r="21" spans="1:17" ht="228" x14ac:dyDescent="0.2">
      <c r="A21" s="86" t="s">
        <v>330</v>
      </c>
      <c r="B21" s="74">
        <v>2525</v>
      </c>
      <c r="C21" s="21" t="s">
        <v>75</v>
      </c>
      <c r="D21" s="21" t="s">
        <v>446</v>
      </c>
      <c r="E21" s="21" t="s">
        <v>531</v>
      </c>
      <c r="F21" s="21" t="s">
        <v>77</v>
      </c>
      <c r="G21" s="21" t="s">
        <v>78</v>
      </c>
      <c r="H21" s="21" t="s">
        <v>79</v>
      </c>
      <c r="I21" s="75" t="s">
        <v>702</v>
      </c>
      <c r="J21" s="75" t="s">
        <v>218</v>
      </c>
      <c r="K21" s="75" t="s">
        <v>703</v>
      </c>
      <c r="L21" s="154" t="s">
        <v>532</v>
      </c>
      <c r="M21" s="108">
        <f>'ОТДЕЛ ОБРАЗОВАНИЯ'!N14+'ОТДЕЛ КУЛЬТУРЫ'!N11</f>
        <v>47451.8</v>
      </c>
      <c r="N21" s="108">
        <f>'ОТДЕЛ ОБРАЗОВАНИЯ'!Z14+'ОТДЕЛ КУЛЬТУРЫ'!X11</f>
        <v>47392.6</v>
      </c>
      <c r="O21" s="108">
        <f>АДМИНИСТРАЦИЯ!BJ22+'ОТДЕЛ ОБРАЗОВАНИЯ'!AL14+'ОТДЕЛ КУЛЬТУРЫ'!AH11</f>
        <v>50485.1</v>
      </c>
      <c r="P21" s="108">
        <f>АДМИНИСТРАЦИЯ!CG22+'ОТДЕЛ ОБРАЗОВАНИЯ'!AW14+'ОТДЕЛ КУЛЬТУРЫ'!AR11</f>
        <v>50607.100000000006</v>
      </c>
      <c r="Q21" s="108">
        <f>АДМИНИСТРАЦИЯ!DC22+'ОТДЕЛ ОБРАЗОВАНИЯ'!BH14+'ОТДЕЛ КУЛЬТУРЫ'!BB11</f>
        <v>50738.100000000006</v>
      </c>
    </row>
    <row r="22" spans="1:17" ht="119.25" customHeight="1" x14ac:dyDescent="0.2">
      <c r="A22" s="86" t="s">
        <v>331</v>
      </c>
      <c r="B22" s="74">
        <v>2526</v>
      </c>
      <c r="C22" s="21" t="s">
        <v>75</v>
      </c>
      <c r="D22" s="21" t="s">
        <v>446</v>
      </c>
      <c r="E22" s="21" t="s">
        <v>531</v>
      </c>
      <c r="F22" s="21" t="s">
        <v>615</v>
      </c>
      <c r="G22" s="21" t="s">
        <v>616</v>
      </c>
      <c r="H22" s="21" t="s">
        <v>617</v>
      </c>
      <c r="I22" s="75" t="s">
        <v>704</v>
      </c>
      <c r="J22" s="75" t="s">
        <v>705</v>
      </c>
      <c r="K22" s="75" t="s">
        <v>706</v>
      </c>
      <c r="L22" s="153" t="s">
        <v>282</v>
      </c>
      <c r="M22" s="108">
        <f>'ОТДЕЛ ОБРАЗОВАНИЯ'!N15+'ОТДЕЛ КУЛЬТУРЫ'!N12</f>
        <v>1787.1</v>
      </c>
      <c r="N22" s="108">
        <f>'ОТДЕЛ ОБРАЗОВАНИЯ'!Z15+'ОТДЕЛ КУЛЬТУРЫ'!X12</f>
        <v>1786.7</v>
      </c>
      <c r="O22" s="108">
        <f>АДМИНИСТРАЦИЯ!BJ23+'ОТДЕЛ ОБРАЗОВАНИЯ'!AL15+'ОТДЕЛ КУЛЬТУРЫ'!AH12</f>
        <v>1725.4</v>
      </c>
      <c r="P22" s="108">
        <f>АДМИНИСТРАЦИЯ!CG23+'ОТДЕЛ ОБРАЗОВАНИЯ'!AW15+'ОТДЕЛ КУЛЬТУРЫ'!AR12</f>
        <v>1794.4</v>
      </c>
      <c r="Q22" s="108">
        <f>АДМИНИСТРАЦИЯ!DC23+'ОТДЕЛ ОБРАЗОВАНИЯ'!BH15+'ОТДЕЛ КУЛЬТУРЫ'!BB12</f>
        <v>1866.1999999999998</v>
      </c>
    </row>
    <row r="23" spans="1:17" ht="146.25" hidden="1" x14ac:dyDescent="0.2">
      <c r="A23" s="86" t="s">
        <v>332</v>
      </c>
      <c r="B23" s="104">
        <v>2528</v>
      </c>
      <c r="C23" s="21" t="s">
        <v>81</v>
      </c>
      <c r="D23" s="21" t="s">
        <v>533</v>
      </c>
      <c r="E23" s="21" t="s">
        <v>163</v>
      </c>
      <c r="F23" s="21" t="s">
        <v>283</v>
      </c>
      <c r="G23" s="36" t="s">
        <v>63</v>
      </c>
      <c r="H23" s="21" t="s">
        <v>534</v>
      </c>
      <c r="I23" s="75" t="s">
        <v>631</v>
      </c>
      <c r="J23" s="155" t="s">
        <v>63</v>
      </c>
      <c r="K23" s="75" t="s">
        <v>632</v>
      </c>
      <c r="L23" s="154" t="s">
        <v>535</v>
      </c>
      <c r="M23" s="108">
        <f>АДМИНИСТРАЦИЯ!N24</f>
        <v>2055.1</v>
      </c>
      <c r="N23" s="108">
        <f>АДМИНИСТРАЦИЯ!AL24</f>
        <v>1778</v>
      </c>
      <c r="O23" s="108">
        <f>АДМИНИСТРАЦИЯ!BJ24</f>
        <v>0</v>
      </c>
      <c r="P23" s="108">
        <f>АДМИНИСТРАЦИЯ!CG24</f>
        <v>0</v>
      </c>
      <c r="Q23" s="108">
        <f>АДМИНИСТРАЦИЯ!DC24</f>
        <v>0</v>
      </c>
    </row>
    <row r="24" spans="1:17" ht="240" x14ac:dyDescent="0.2">
      <c r="A24" s="86" t="s">
        <v>333</v>
      </c>
      <c r="B24" s="74">
        <v>2530</v>
      </c>
      <c r="C24" s="21" t="s">
        <v>536</v>
      </c>
      <c r="D24" s="21" t="s">
        <v>447</v>
      </c>
      <c r="E24" s="21" t="s">
        <v>166</v>
      </c>
      <c r="F24" s="21" t="s">
        <v>91</v>
      </c>
      <c r="G24" s="21" t="s">
        <v>92</v>
      </c>
      <c r="H24" s="21" t="s">
        <v>537</v>
      </c>
      <c r="I24" s="75" t="s">
        <v>707</v>
      </c>
      <c r="J24" s="75" t="s">
        <v>218</v>
      </c>
      <c r="K24" s="75" t="s">
        <v>708</v>
      </c>
      <c r="L24" s="153" t="s">
        <v>287</v>
      </c>
      <c r="M24" s="108">
        <f>'ОТДЕЛ КУЛЬТУРЫ'!N13</f>
        <v>17062.7</v>
      </c>
      <c r="N24" s="108">
        <f>'ОТДЕЛ КУЛЬТУРЫ'!X13</f>
        <v>17062.7</v>
      </c>
      <c r="O24" s="108">
        <f>АДМИНИСТРАЦИЯ!BJ25+'ОТДЕЛ КУЛЬТУРЫ'!AH13</f>
        <v>17389.400000000001</v>
      </c>
      <c r="P24" s="108">
        <f>АДМИНИСТРАЦИЯ!CG25+'ОТДЕЛ КУЛЬТУРЫ'!AR13</f>
        <v>17442.900000000001</v>
      </c>
      <c r="Q24" s="108">
        <f>АДМИНИСТРАЦИЯ!DC25+'ОТДЕЛ КУЛЬТУРЫ'!BB13</f>
        <v>17498.2</v>
      </c>
    </row>
    <row r="25" spans="1:17" ht="288" x14ac:dyDescent="0.2">
      <c r="A25" s="86" t="s">
        <v>334</v>
      </c>
      <c r="B25" s="104">
        <v>2531</v>
      </c>
      <c r="C25" s="21" t="s">
        <v>538</v>
      </c>
      <c r="D25" s="21" t="s">
        <v>448</v>
      </c>
      <c r="E25" s="21" t="s">
        <v>539</v>
      </c>
      <c r="F25" s="21" t="s">
        <v>540</v>
      </c>
      <c r="G25" s="21" t="s">
        <v>541</v>
      </c>
      <c r="H25" s="21" t="s">
        <v>542</v>
      </c>
      <c r="I25" s="75" t="s">
        <v>709</v>
      </c>
      <c r="J25" s="75" t="s">
        <v>220</v>
      </c>
      <c r="K25" s="75" t="s">
        <v>710</v>
      </c>
      <c r="L25" s="154" t="s">
        <v>656</v>
      </c>
      <c r="M25" s="108">
        <f>'ОТДЕЛ КУЛЬТУРЫ'!N14+АДМИНИСТРАЦИЯ!N26+'ОТДЕЛ ОБРАЗОВАНИЯ'!O18</f>
        <v>52854.700000000004</v>
      </c>
      <c r="N25" s="108">
        <f>'ОТДЕЛ КУЛЬТУРЫ'!X14+АДМИНИСТРАЦИЯ!AL26+'ОТДЕЛ ОБРАЗОВАНИЯ'!Z18</f>
        <v>52854.700000000004</v>
      </c>
      <c r="O25" s="108">
        <f>АДМИНИСТРАЦИЯ!BJ26+'ОТДЕЛ КУЛЬТУРЫ'!AH14+'ОТДЕЛ ОБРАЗОВАНИЯ'!AL18</f>
        <v>49240.19999999999</v>
      </c>
      <c r="P25" s="108">
        <f>АДМИНИСТРАЦИЯ!CG26+'ОТДЕЛ КУЛЬТУРЫ'!AR14+'ОТДЕЛ ОБРАЗОВАНИЯ'!AW18</f>
        <v>45357.8</v>
      </c>
      <c r="Q25" s="108">
        <f>АДМИНИСТРАЦИЯ!DC26+'ОТДЕЛ ОБРАЗОВАНИЯ'!BH18+'ОТДЕЛ КУЛЬТУРЫ'!BB14</f>
        <v>45381.1</v>
      </c>
    </row>
    <row r="26" spans="1:17" ht="60.75" hidden="1" customHeight="1" x14ac:dyDescent="0.2">
      <c r="A26" s="26" t="s">
        <v>335</v>
      </c>
      <c r="B26" s="104">
        <v>2533</v>
      </c>
      <c r="C26" s="21" t="s">
        <v>56</v>
      </c>
      <c r="D26" s="21" t="s">
        <v>449</v>
      </c>
      <c r="E26" s="21"/>
      <c r="F26" s="21"/>
      <c r="G26" s="21"/>
      <c r="H26" s="21"/>
      <c r="I26" s="75"/>
      <c r="J26" s="75"/>
      <c r="K26" s="75"/>
      <c r="L26" s="153"/>
      <c r="M26" s="108">
        <v>0</v>
      </c>
      <c r="N26" s="108">
        <v>0</v>
      </c>
      <c r="O26" s="108"/>
      <c r="P26" s="108"/>
      <c r="Q26" s="108"/>
    </row>
    <row r="27" spans="1:17" ht="240" x14ac:dyDescent="0.2">
      <c r="A27" s="86" t="s">
        <v>336</v>
      </c>
      <c r="B27" s="104">
        <v>2534</v>
      </c>
      <c r="C27" s="21" t="s">
        <v>543</v>
      </c>
      <c r="D27" s="21" t="s">
        <v>544</v>
      </c>
      <c r="E27" s="21" t="s">
        <v>173</v>
      </c>
      <c r="F27" s="21" t="s">
        <v>664</v>
      </c>
      <c r="G27" s="21" t="s">
        <v>665</v>
      </c>
      <c r="H27" s="21" t="s">
        <v>666</v>
      </c>
      <c r="I27" s="75" t="s">
        <v>711</v>
      </c>
      <c r="J27" s="75" t="s">
        <v>183</v>
      </c>
      <c r="K27" s="75" t="s">
        <v>712</v>
      </c>
      <c r="L27" s="156" t="s">
        <v>292</v>
      </c>
      <c r="M27" s="108">
        <f>'ОТДЕЛ ОБРАЗОВАНИЯ'!N16+'ОТДЕЛ КУЛЬТУРЫ'!N15+АДМИНИСТРАЦИЯ!N28</f>
        <v>9296.7000000000007</v>
      </c>
      <c r="N27" s="108">
        <f>'ОТДЕЛ ОБРАЗОВАНИЯ'!Z16+'ОТДЕЛ КУЛЬТУРЫ'!X15+АДМИНИСТРАЦИЯ!AL28</f>
        <v>9265.8000000000011</v>
      </c>
      <c r="O27" s="108">
        <f>АДМИНИСТРАЦИЯ!BJ28+'ОТДЕЛ ОБРАЗОВАНИЯ'!AL16+'ОТДЕЛ КУЛЬТУРЫ'!AH15</f>
        <v>5434.9</v>
      </c>
      <c r="P27" s="108">
        <f>'ОТДЕЛ ОБРАЗОВАНИЯ'!AW16+'ОТДЕЛ КУЛЬТУРЫ'!AR15</f>
        <v>3592.8</v>
      </c>
      <c r="Q27" s="108">
        <f>'ОТДЕЛ ОБРАЗОВАНИЯ'!BH16+'ОТДЕЛ КУЛЬТУРЫ'!BB15</f>
        <v>6760.8</v>
      </c>
    </row>
    <row r="28" spans="1:17" ht="96" x14ac:dyDescent="0.2">
      <c r="A28" s="86" t="s">
        <v>337</v>
      </c>
      <c r="B28" s="104">
        <v>2537</v>
      </c>
      <c r="C28" s="21" t="s">
        <v>545</v>
      </c>
      <c r="D28" s="21" t="s">
        <v>546</v>
      </c>
      <c r="E28" s="21" t="s">
        <v>547</v>
      </c>
      <c r="F28" s="21" t="s">
        <v>548</v>
      </c>
      <c r="G28" s="21" t="s">
        <v>612</v>
      </c>
      <c r="H28" s="21" t="s">
        <v>549</v>
      </c>
      <c r="I28" s="75" t="s">
        <v>636</v>
      </c>
      <c r="J28" s="155" t="s">
        <v>63</v>
      </c>
      <c r="K28" s="75" t="s">
        <v>637</v>
      </c>
      <c r="L28" s="153" t="s">
        <v>286</v>
      </c>
      <c r="M28" s="108">
        <f>АДМИНИСТРАЦИЯ!N29</f>
        <v>149.80000000000001</v>
      </c>
      <c r="N28" s="108">
        <f>АДМИНИСТРАЦИЯ!AL29</f>
        <v>149.80000000000001</v>
      </c>
      <c r="O28" s="108">
        <f>АДМИНИСТРАЦИЯ!BJ29</f>
        <v>134</v>
      </c>
      <c r="P28" s="108">
        <f>АДМИНИСТРАЦИЯ!CG29</f>
        <v>139.4</v>
      </c>
      <c r="Q28" s="108">
        <f>АДМИНИСТРАЦИЯ!DC29</f>
        <v>144.9</v>
      </c>
    </row>
    <row r="29" spans="1:17" ht="48.75" hidden="1" customHeight="1" x14ac:dyDescent="0.2">
      <c r="A29" s="86" t="s">
        <v>338</v>
      </c>
      <c r="B29" s="104">
        <v>2538</v>
      </c>
      <c r="C29" s="21" t="s">
        <v>56</v>
      </c>
      <c r="D29" s="21" t="s">
        <v>450</v>
      </c>
      <c r="E29" s="21" t="s">
        <v>451</v>
      </c>
      <c r="F29" s="21"/>
      <c r="G29" s="21"/>
      <c r="H29" s="21"/>
      <c r="I29" s="75"/>
      <c r="J29" s="155"/>
      <c r="K29" s="75"/>
      <c r="L29" s="153"/>
      <c r="M29" s="108">
        <v>0</v>
      </c>
      <c r="N29" s="108">
        <v>0</v>
      </c>
      <c r="O29" s="108">
        <f>АДМИНИСТРАЦИЯ!BJ30</f>
        <v>0</v>
      </c>
      <c r="P29" s="108">
        <f>АДМИНИСТРАЦИЯ!CG30</f>
        <v>0</v>
      </c>
      <c r="Q29" s="108">
        <f>АДМИНИСТРАЦИЯ!DC30</f>
        <v>0</v>
      </c>
    </row>
    <row r="30" spans="1:17" ht="144" x14ac:dyDescent="0.2">
      <c r="A30" s="86" t="s">
        <v>339</v>
      </c>
      <c r="B30" s="74">
        <v>2539</v>
      </c>
      <c r="C30" s="21" t="s">
        <v>82</v>
      </c>
      <c r="D30" s="21" t="s">
        <v>497</v>
      </c>
      <c r="E30" s="21" t="s">
        <v>550</v>
      </c>
      <c r="F30" s="21" t="s">
        <v>498</v>
      </c>
      <c r="G30" s="21" t="s">
        <v>499</v>
      </c>
      <c r="H30" s="21" t="s">
        <v>551</v>
      </c>
      <c r="I30" s="75" t="s">
        <v>713</v>
      </c>
      <c r="J30" s="157" t="s">
        <v>714</v>
      </c>
      <c r="K30" s="38" t="s">
        <v>715</v>
      </c>
      <c r="L30" s="153" t="s">
        <v>614</v>
      </c>
      <c r="M30" s="108">
        <f>АДМИНИСТРАЦИЯ!N31</f>
        <v>3163.8</v>
      </c>
      <c r="N30" s="108">
        <f>АДМИНИСТРАЦИЯ!AL31</f>
        <v>3163.8</v>
      </c>
      <c r="O30" s="108">
        <f>АДМИНИСТРАЦИЯ!BJ31</f>
        <v>2117</v>
      </c>
      <c r="P30" s="108">
        <f>АДМИНИСТРАЦИЯ!CG31</f>
        <v>0</v>
      </c>
      <c r="Q30" s="108">
        <f>АДМИНИСТРАЦИЯ!DC31</f>
        <v>0</v>
      </c>
    </row>
    <row r="31" spans="1:17" ht="409.5" customHeight="1" x14ac:dyDescent="0.2">
      <c r="A31" s="86" t="s">
        <v>340</v>
      </c>
      <c r="B31" s="74">
        <v>2541</v>
      </c>
      <c r="C31" s="21" t="s">
        <v>56</v>
      </c>
      <c r="D31" s="21" t="s">
        <v>452</v>
      </c>
      <c r="E31" s="21" t="s">
        <v>451</v>
      </c>
      <c r="F31" s="21" t="s">
        <v>660</v>
      </c>
      <c r="G31" s="21" t="s">
        <v>661</v>
      </c>
      <c r="H31" s="21" t="s">
        <v>662</v>
      </c>
      <c r="I31" s="75" t="s">
        <v>716</v>
      </c>
      <c r="J31" s="157" t="s">
        <v>717</v>
      </c>
      <c r="K31" s="38" t="s">
        <v>718</v>
      </c>
      <c r="L31" s="154" t="s">
        <v>603</v>
      </c>
      <c r="M31" s="108">
        <f>АДМИНИСТРАЦИЯ!N32</f>
        <v>31812</v>
      </c>
      <c r="N31" s="108">
        <f>АДМИНИСТРАЦИЯ!AL32</f>
        <v>31782.800000000003</v>
      </c>
      <c r="O31" s="108">
        <f>АДМИНИСТРАЦИЯ!BJ32</f>
        <v>20532.399999999998</v>
      </c>
      <c r="P31" s="108">
        <f>АДМИНИСТРАЦИЯ!CG32</f>
        <v>26636.7</v>
      </c>
      <c r="Q31" s="108">
        <f>АДМИНИСТРАЦИЯ!DC32</f>
        <v>31795.3</v>
      </c>
    </row>
    <row r="32" spans="1:17" ht="247.5" x14ac:dyDescent="0.2">
      <c r="A32" s="86" t="s">
        <v>341</v>
      </c>
      <c r="B32" s="74">
        <v>2544</v>
      </c>
      <c r="C32" s="21" t="s">
        <v>56</v>
      </c>
      <c r="D32" s="21" t="s">
        <v>453</v>
      </c>
      <c r="E32" s="21" t="s">
        <v>154</v>
      </c>
      <c r="F32" s="21" t="s">
        <v>284</v>
      </c>
      <c r="G32" s="21" t="s">
        <v>63</v>
      </c>
      <c r="H32" s="21" t="s">
        <v>552</v>
      </c>
      <c r="I32" s="75" t="s">
        <v>285</v>
      </c>
      <c r="J32" s="155" t="s">
        <v>63</v>
      </c>
      <c r="K32" s="75" t="s">
        <v>553</v>
      </c>
      <c r="L32" s="153" t="s">
        <v>274</v>
      </c>
      <c r="M32" s="108">
        <f>АДМИНИСТРАЦИЯ!N33</f>
        <v>250</v>
      </c>
      <c r="N32" s="108">
        <f>АДМИНИСТРАЦИЯ!AL33</f>
        <v>155.5</v>
      </c>
      <c r="O32" s="108">
        <f>АДМИНИСТРАЦИЯ!BJ33</f>
        <v>0</v>
      </c>
      <c r="P32" s="108">
        <f>АДМИНИСТРАЦИЯ!CG33</f>
        <v>300</v>
      </c>
      <c r="Q32" s="108">
        <f>АДМИНИСТРАЦИЯ!DC33</f>
        <v>0</v>
      </c>
    </row>
    <row r="33" spans="1:17" ht="144" x14ac:dyDescent="0.2">
      <c r="A33" s="86" t="s">
        <v>342</v>
      </c>
      <c r="B33" s="74">
        <v>2547</v>
      </c>
      <c r="C33" s="21" t="s">
        <v>554</v>
      </c>
      <c r="D33" s="21" t="s">
        <v>555</v>
      </c>
      <c r="E33" s="21" t="s">
        <v>556</v>
      </c>
      <c r="F33" s="21" t="s">
        <v>98</v>
      </c>
      <c r="G33" s="21" t="s">
        <v>557</v>
      </c>
      <c r="H33" s="21" t="s">
        <v>99</v>
      </c>
      <c r="I33" s="75" t="s">
        <v>719</v>
      </c>
      <c r="J33" s="38" t="s">
        <v>466</v>
      </c>
      <c r="K33" s="38" t="s">
        <v>696</v>
      </c>
      <c r="L33" s="154" t="s">
        <v>613</v>
      </c>
      <c r="M33" s="108">
        <f>АДМИНИСТРАЦИЯ!N34</f>
        <v>0</v>
      </c>
      <c r="N33" s="108">
        <f>АДМИНИСТРАЦИЯ!AL34</f>
        <v>0</v>
      </c>
      <c r="O33" s="108">
        <f>АДМИНИСТРАЦИЯ!BJ34</f>
        <v>127.3</v>
      </c>
      <c r="P33" s="108">
        <f>АДМИНИСТРАЦИЯ!CG34</f>
        <v>0</v>
      </c>
      <c r="Q33" s="108">
        <f>АДМИНИСТРАЦИЯ!DC34</f>
        <v>0</v>
      </c>
    </row>
    <row r="34" spans="1:17" ht="223.5" customHeight="1" x14ac:dyDescent="0.2">
      <c r="A34" s="86" t="s">
        <v>343</v>
      </c>
      <c r="B34" s="74">
        <v>2552</v>
      </c>
      <c r="C34" s="21" t="s">
        <v>558</v>
      </c>
      <c r="D34" s="21" t="s">
        <v>454</v>
      </c>
      <c r="E34" s="21" t="s">
        <v>559</v>
      </c>
      <c r="F34" s="21" t="s">
        <v>768</v>
      </c>
      <c r="G34" s="21" t="s">
        <v>769</v>
      </c>
      <c r="H34" s="21" t="s">
        <v>770</v>
      </c>
      <c r="I34" s="75" t="s">
        <v>720</v>
      </c>
      <c r="J34" s="75" t="s">
        <v>721</v>
      </c>
      <c r="K34" s="158" t="s">
        <v>722</v>
      </c>
      <c r="L34" s="153" t="s">
        <v>288</v>
      </c>
      <c r="M34" s="108">
        <f>АДМИНИСТРАЦИЯ!N35</f>
        <v>598.9</v>
      </c>
      <c r="N34" s="108">
        <f>АДМИНИСТРАЦИЯ!AL35</f>
        <v>598.9</v>
      </c>
      <c r="O34" s="108">
        <f>АДМИНИСТРАЦИЯ!BJ35</f>
        <v>625.79999999999995</v>
      </c>
      <c r="P34" s="108">
        <f>АДМИНИСТРАЦИЯ!CG35</f>
        <v>1014.7</v>
      </c>
      <c r="Q34" s="108">
        <f>АДМИНИСТРАЦИЯ!DC35</f>
        <v>266.8</v>
      </c>
    </row>
    <row r="35" spans="1:17" ht="168" x14ac:dyDescent="0.2">
      <c r="A35" s="86" t="s">
        <v>344</v>
      </c>
      <c r="B35" s="74">
        <v>2553</v>
      </c>
      <c r="C35" s="21" t="s">
        <v>560</v>
      </c>
      <c r="D35" s="21" t="s">
        <v>561</v>
      </c>
      <c r="E35" s="21" t="s">
        <v>562</v>
      </c>
      <c r="F35" s="21" t="s">
        <v>289</v>
      </c>
      <c r="G35" s="21" t="s">
        <v>127</v>
      </c>
      <c r="H35" s="21" t="s">
        <v>563</v>
      </c>
      <c r="I35" s="75" t="s">
        <v>723</v>
      </c>
      <c r="J35" s="75" t="s">
        <v>649</v>
      </c>
      <c r="K35" s="75" t="s">
        <v>724</v>
      </c>
      <c r="L35" s="153" t="s">
        <v>274</v>
      </c>
      <c r="M35" s="108">
        <f>АДМИНИСТРАЦИЯ!N36</f>
        <v>100</v>
      </c>
      <c r="N35" s="108">
        <f>АДМИНИСТРАЦИЯ!AL36</f>
        <v>100</v>
      </c>
      <c r="O35" s="108">
        <f>АДМИНИСТРАЦИЯ!BJ36</f>
        <v>0</v>
      </c>
      <c r="P35" s="108">
        <f>АДМИНИСТРАЦИЯ!CG36</f>
        <v>0</v>
      </c>
      <c r="Q35" s="108">
        <f>АДМИНИСТРАЦИЯ!DC36</f>
        <v>0</v>
      </c>
    </row>
    <row r="36" spans="1:17" ht="102" customHeight="1" x14ac:dyDescent="0.2">
      <c r="A36" s="86" t="s">
        <v>345</v>
      </c>
      <c r="B36" s="74">
        <v>2554</v>
      </c>
      <c r="C36" s="21" t="s">
        <v>290</v>
      </c>
      <c r="D36" s="21" t="s">
        <v>455</v>
      </c>
      <c r="E36" s="21" t="s">
        <v>291</v>
      </c>
      <c r="F36" s="21"/>
      <c r="G36" s="21"/>
      <c r="H36" s="21"/>
      <c r="I36" s="75" t="s">
        <v>786</v>
      </c>
      <c r="J36" s="75"/>
      <c r="K36" s="75"/>
      <c r="L36" s="153" t="s">
        <v>286</v>
      </c>
      <c r="M36" s="108">
        <f>АДМИНИСТРАЦИЯ!N37</f>
        <v>330</v>
      </c>
      <c r="N36" s="108">
        <f>АДМИНИСТРАЦИЯ!AL37</f>
        <v>330</v>
      </c>
      <c r="O36" s="108">
        <f>АДМИНИСТРАЦИЯ!BJ37</f>
        <v>300</v>
      </c>
      <c r="P36" s="108">
        <f>АДМИНИСТРАЦИЯ!CG37</f>
        <v>312</v>
      </c>
      <c r="Q36" s="108">
        <f>АДМИНИСТРАЦИЯ!DC37</f>
        <v>324.5</v>
      </c>
    </row>
    <row r="37" spans="1:17" ht="168" x14ac:dyDescent="0.2">
      <c r="A37" s="86" t="s">
        <v>346</v>
      </c>
      <c r="B37" s="74">
        <v>2555</v>
      </c>
      <c r="C37" s="21" t="s">
        <v>109</v>
      </c>
      <c r="D37" s="21" t="s">
        <v>456</v>
      </c>
      <c r="E37" s="21" t="s">
        <v>174</v>
      </c>
      <c r="F37" s="21" t="s">
        <v>765</v>
      </c>
      <c r="G37" s="36" t="s">
        <v>766</v>
      </c>
      <c r="H37" s="21" t="s">
        <v>767</v>
      </c>
      <c r="I37" s="75" t="s">
        <v>725</v>
      </c>
      <c r="J37" s="75" t="s">
        <v>183</v>
      </c>
      <c r="K37" s="75" t="s">
        <v>726</v>
      </c>
      <c r="L37" s="154" t="s">
        <v>282</v>
      </c>
      <c r="M37" s="108">
        <f>'ОТДЕЛ КУЛЬТУРЫ'!N16</f>
        <v>143</v>
      </c>
      <c r="N37" s="108">
        <f>'ОТДЕЛ КУЛЬТУРЫ'!X16</f>
        <v>143</v>
      </c>
      <c r="O37" s="108">
        <f>АДМИНИСТРАЦИЯ!BJ38+'ОТДЕЛ ОБРАЗОВАНИЯ'!AL17+'ОТДЕЛ КУЛЬТУРЫ'!AH16</f>
        <v>150</v>
      </c>
      <c r="P37" s="108">
        <f>АДМИНИСТРАЦИЯ!CG38+'ОТДЕЛ ОБРАЗОВАНИЯ'!AW17+'ОТДЕЛ КУЛЬТУРЫ'!AR16</f>
        <v>150</v>
      </c>
      <c r="Q37" s="108">
        <f>АДМИНИСТРАЦИЯ!DC38+'ОТДЕЛ ОБРАЗОВАНИЯ'!BH17+'ОТДЕЛ КУЛЬТУРЫ'!BB16</f>
        <v>150</v>
      </c>
    </row>
    <row r="38" spans="1:17" ht="168" x14ac:dyDescent="0.2">
      <c r="A38" s="86" t="s">
        <v>347</v>
      </c>
      <c r="B38" s="74">
        <v>2557</v>
      </c>
      <c r="C38" s="21" t="s">
        <v>564</v>
      </c>
      <c r="D38" s="21" t="s">
        <v>565</v>
      </c>
      <c r="E38" s="21" t="s">
        <v>566</v>
      </c>
      <c r="F38" s="21" t="s">
        <v>567</v>
      </c>
      <c r="G38" s="21" t="s">
        <v>496</v>
      </c>
      <c r="H38" s="21" t="s">
        <v>568</v>
      </c>
      <c r="I38" s="75" t="s">
        <v>727</v>
      </c>
      <c r="J38" s="157" t="s">
        <v>624</v>
      </c>
      <c r="K38" s="38" t="s">
        <v>728</v>
      </c>
      <c r="L38" s="154" t="s">
        <v>279</v>
      </c>
      <c r="M38" s="108">
        <f>АДМИНИСТРАЦИЯ!N39</f>
        <v>343.2</v>
      </c>
      <c r="N38" s="108">
        <f>АДМИНИСТРАЦИЯ!AL39</f>
        <v>280.89999999999998</v>
      </c>
      <c r="O38" s="108">
        <f>АДМИНИСТРАЦИЯ!BJ39</f>
        <v>290</v>
      </c>
      <c r="P38" s="108">
        <f>АДМИНИСТРАЦИЯ!CG39</f>
        <v>290</v>
      </c>
      <c r="Q38" s="108">
        <f>АДМИНИСТРАЦИЯ!DC39</f>
        <v>290</v>
      </c>
    </row>
    <row r="39" spans="1:17" ht="156" x14ac:dyDescent="0.2">
      <c r="A39" s="86" t="s">
        <v>348</v>
      </c>
      <c r="B39" s="74">
        <v>2561</v>
      </c>
      <c r="C39" s="21" t="s">
        <v>275</v>
      </c>
      <c r="D39" s="21" t="s">
        <v>457</v>
      </c>
      <c r="E39" s="21" t="s">
        <v>276</v>
      </c>
      <c r="F39" s="21" t="s">
        <v>659</v>
      </c>
      <c r="G39" s="36" t="s">
        <v>629</v>
      </c>
      <c r="H39" s="21" t="s">
        <v>630</v>
      </c>
      <c r="I39" s="75" t="s">
        <v>729</v>
      </c>
      <c r="J39" s="157" t="s">
        <v>183</v>
      </c>
      <c r="K39" s="38" t="s">
        <v>730</v>
      </c>
      <c r="L39" s="154" t="s">
        <v>274</v>
      </c>
      <c r="M39" s="108">
        <f>АДМИНИСТРАЦИЯ!N40</f>
        <v>3022.7999999999997</v>
      </c>
      <c r="N39" s="108">
        <f>АДМИНИСТРАЦИЯ!AL40</f>
        <v>3022.7999999999997</v>
      </c>
      <c r="O39" s="108">
        <f>АДМИНИСТРАЦИЯ!BJ40</f>
        <v>3899.8999999999996</v>
      </c>
      <c r="P39" s="108">
        <f>АДМИНИСТРАЦИЯ!CG40</f>
        <v>516</v>
      </c>
      <c r="Q39" s="108">
        <f>АДМИНИСТРАЦИЯ!DC40</f>
        <v>537</v>
      </c>
    </row>
    <row r="40" spans="1:17" ht="73.5" x14ac:dyDescent="0.2">
      <c r="A40" s="60" t="s">
        <v>349</v>
      </c>
      <c r="B40" s="64" t="s">
        <v>350</v>
      </c>
      <c r="C40" s="66" t="s">
        <v>10</v>
      </c>
      <c r="D40" s="67" t="s">
        <v>10</v>
      </c>
      <c r="E40" s="67" t="s">
        <v>10</v>
      </c>
      <c r="F40" s="66" t="s">
        <v>10</v>
      </c>
      <c r="G40" s="67" t="s">
        <v>10</v>
      </c>
      <c r="H40" s="67" t="s">
        <v>10</v>
      </c>
      <c r="I40" s="66" t="s">
        <v>10</v>
      </c>
      <c r="J40" s="67" t="s">
        <v>10</v>
      </c>
      <c r="K40" s="67" t="s">
        <v>10</v>
      </c>
      <c r="L40" s="64" t="s">
        <v>10</v>
      </c>
      <c r="M40" s="62">
        <f>SUM(M41:M48)</f>
        <v>123452.3</v>
      </c>
      <c r="N40" s="62">
        <f>SUM(N41:N48)</f>
        <v>123254.76000000001</v>
      </c>
      <c r="O40" s="62">
        <f>SUM(O41:O48)</f>
        <v>138986.68</v>
      </c>
      <c r="P40" s="62">
        <f>SUM(P41:P48)</f>
        <v>136350.80000000002</v>
      </c>
      <c r="Q40" s="62">
        <f>SUM(Q41:Q48)</f>
        <v>136761.80000000002</v>
      </c>
    </row>
    <row r="41" spans="1:17" ht="132" customHeight="1" x14ac:dyDescent="0.2">
      <c r="A41" s="86" t="s">
        <v>351</v>
      </c>
      <c r="B41" s="8">
        <v>2601</v>
      </c>
      <c r="C41" s="21" t="s">
        <v>569</v>
      </c>
      <c r="D41" s="21" t="s">
        <v>638</v>
      </c>
      <c r="E41" s="21" t="s">
        <v>464</v>
      </c>
      <c r="F41" s="21" t="s">
        <v>625</v>
      </c>
      <c r="G41" s="21" t="s">
        <v>503</v>
      </c>
      <c r="H41" s="21" t="s">
        <v>600</v>
      </c>
      <c r="I41" s="21" t="s">
        <v>731</v>
      </c>
      <c r="J41" s="21" t="s">
        <v>218</v>
      </c>
      <c r="K41" s="21" t="s">
        <v>732</v>
      </c>
      <c r="L41" s="110" t="s">
        <v>733</v>
      </c>
      <c r="M41" s="108">
        <f>АДМИНИСТРАЦИЯ!N42+'ОТДЕЛ ОБРАЗОВАНИЯ'!N20+'ОТДЕЛ КУЛЬТУРЫ'!N18+ФУ!N15</f>
        <v>16506.900000000001</v>
      </c>
      <c r="N41" s="108">
        <f>АДМИНИСТРАЦИЯ!AL42+'ОТДЕЛ ОБРАЗОВАНИЯ'!Z20+'ОТДЕЛ КУЛЬТУРЫ'!X18+ФУ!Q15</f>
        <v>16427.16</v>
      </c>
      <c r="O41" s="108">
        <f>АДМИНИСТРАЦИЯ!BJ42+'ОТДЕЛ ОБРАЗОВАНИЯ'!AL20+'ОТДЕЛ КУЛЬТУРЫ'!AH18+ФУ!T15</f>
        <v>17957.28</v>
      </c>
      <c r="P41" s="108">
        <f>АДМИНИСТРАЦИЯ!CG42+'ОТДЕЛ ОБРАЗОВАНИЯ'!AW20+'ОТДЕЛ КУЛЬТУРЫ'!AR18+ФУ!X15</f>
        <v>17515.5</v>
      </c>
      <c r="Q41" s="108">
        <f>АДМИНИСТРАЦИЯ!DC42+'ОТДЕЛ ОБРАЗОВАНИЯ'!BH20+'ОТДЕЛ КУЛЬТУРЫ'!BB18+ФУ!AB15</f>
        <v>17558</v>
      </c>
    </row>
    <row r="42" spans="1:17" ht="114.75" customHeight="1" x14ac:dyDescent="0.2">
      <c r="A42" s="86" t="s">
        <v>352</v>
      </c>
      <c r="B42" s="8">
        <v>2602</v>
      </c>
      <c r="C42" s="21" t="s">
        <v>517</v>
      </c>
      <c r="D42" s="21" t="s">
        <v>638</v>
      </c>
      <c r="E42" s="21" t="s">
        <v>464</v>
      </c>
      <c r="F42" s="21" t="s">
        <v>626</v>
      </c>
      <c r="G42" s="21" t="s">
        <v>466</v>
      </c>
      <c r="H42" s="21" t="s">
        <v>600</v>
      </c>
      <c r="I42" s="21" t="s">
        <v>734</v>
      </c>
      <c r="J42" s="21" t="s">
        <v>203</v>
      </c>
      <c r="K42" s="21" t="s">
        <v>735</v>
      </c>
      <c r="L42" s="110" t="s">
        <v>512</v>
      </c>
      <c r="M42" s="108">
        <f>АДМИНИСТРАЦИЯ!N43+'ОТДЕЛ ОБРАЗОВАНИЯ'!N21+'ОТДЕЛ КУЛЬТУРЫ'!N19+ФУ!N16</f>
        <v>40520.400000000001</v>
      </c>
      <c r="N42" s="108">
        <f>АДМИНИСТРАЦИЯ!AL43+'ОТДЕЛ ОБРАЗОВАНИЯ'!Z21+'ОТДЕЛ КУЛЬТУРЫ'!X19+ФУ!Q16</f>
        <v>40476.5</v>
      </c>
      <c r="O42" s="108">
        <f>АДМИНИСТРАЦИЯ!BJ43+'ОТДЕЛ ОБРАЗОВАНИЯ'!AL21+'ОТДЕЛ КУЛЬТУРЫ'!AH19+ФУ!T16</f>
        <v>43299.700000000004</v>
      </c>
      <c r="P42" s="108">
        <f>АДМИНИСТРАЦИЯ!CG43+'ОТДЕЛ ОБРАЗОВАНИЯ'!AW21+'ОТДЕЛ КУЛЬТУРЫ'!AR19+ФУ!X16</f>
        <v>43299.700000000004</v>
      </c>
      <c r="Q42" s="108">
        <f>АДМИНИСТРАЦИЯ!DC43+'ОТДЕЛ ОБРАЗОВАНИЯ'!BH21+'ОТДЕЛ КУЛЬТУРЫ'!BB19+ФУ!AB16</f>
        <v>43299.700000000004</v>
      </c>
    </row>
    <row r="43" spans="1:17" ht="160.5" customHeight="1" x14ac:dyDescent="0.2">
      <c r="A43" s="86" t="s">
        <v>639</v>
      </c>
      <c r="B43" s="8">
        <v>2606</v>
      </c>
      <c r="C43" s="21" t="s">
        <v>109</v>
      </c>
      <c r="D43" s="21" t="s">
        <v>458</v>
      </c>
      <c r="E43" s="21" t="s">
        <v>174</v>
      </c>
      <c r="F43" s="21" t="s">
        <v>642</v>
      </c>
      <c r="G43" s="21" t="s">
        <v>643</v>
      </c>
      <c r="H43" s="21" t="s">
        <v>644</v>
      </c>
      <c r="I43" s="21" t="s">
        <v>736</v>
      </c>
      <c r="J43" s="21" t="s">
        <v>218</v>
      </c>
      <c r="K43" s="21" t="s">
        <v>737</v>
      </c>
      <c r="L43" s="110" t="s">
        <v>645</v>
      </c>
      <c r="M43" s="108">
        <f>АДМИНИСТРАЦИЯ!N44+Дума!N12</f>
        <v>5137.6000000000004</v>
      </c>
      <c r="N43" s="108">
        <f>АДМИНИСТРАЦИЯ!AL44+Дума!Q12</f>
        <v>5133.3</v>
      </c>
      <c r="O43" s="108">
        <f>АДМИНИСТРАЦИЯ!BJ44+Дума!T12</f>
        <v>4855.7000000000007</v>
      </c>
      <c r="P43" s="108">
        <f>АДМИНИСТРАЦИЯ!CG44+Дума!W12</f>
        <v>4840.7000000000007</v>
      </c>
      <c r="Q43" s="108">
        <f>АДМИНИСТРАЦИЯ!DC44+Дума!Y12</f>
        <v>4840.7000000000007</v>
      </c>
    </row>
    <row r="44" spans="1:17" ht="252" x14ac:dyDescent="0.2">
      <c r="A44" s="86" t="s">
        <v>353</v>
      </c>
      <c r="B44" s="8">
        <v>2608</v>
      </c>
      <c r="C44" s="21" t="s">
        <v>109</v>
      </c>
      <c r="D44" s="21" t="s">
        <v>458</v>
      </c>
      <c r="E44" s="21" t="s">
        <v>174</v>
      </c>
      <c r="F44" s="41"/>
      <c r="G44" s="41"/>
      <c r="H44" s="41"/>
      <c r="I44" s="160" t="s">
        <v>738</v>
      </c>
      <c r="J44" s="38" t="s">
        <v>739</v>
      </c>
      <c r="K44" s="38" t="s">
        <v>740</v>
      </c>
      <c r="L44" s="154" t="s">
        <v>657</v>
      </c>
      <c r="M44" s="108">
        <f>АДМИНИСТРАЦИЯ!N45</f>
        <v>53693.5</v>
      </c>
      <c r="N44" s="108">
        <f>АДМИНИСТРАЦИЯ!AL45</f>
        <v>53686.5</v>
      </c>
      <c r="O44" s="108">
        <f>АДМИНИСТРАЦИЯ!BJ45+ФУ!T17</f>
        <v>63971.9</v>
      </c>
      <c r="P44" s="108">
        <f>АДМИНИСТРАЦИЯ!CG45+ФУ!X17</f>
        <v>61792.800000000003</v>
      </c>
      <c r="Q44" s="108">
        <f>АДМИНИСТРАЦИЯ!DC45+ФУ!AB17</f>
        <v>62161.3</v>
      </c>
    </row>
    <row r="45" spans="1:17" ht="72" hidden="1" customHeight="1" x14ac:dyDescent="0.2">
      <c r="A45" s="26" t="s">
        <v>354</v>
      </c>
      <c r="B45" s="74">
        <v>2613</v>
      </c>
      <c r="C45" s="21" t="s">
        <v>113</v>
      </c>
      <c r="D45" s="21" t="s">
        <v>459</v>
      </c>
      <c r="E45" s="21" t="s">
        <v>177</v>
      </c>
      <c r="F45" s="21" t="s">
        <v>294</v>
      </c>
      <c r="G45" s="111" t="s">
        <v>295</v>
      </c>
      <c r="H45" s="21" t="s">
        <v>296</v>
      </c>
      <c r="I45" s="22"/>
      <c r="J45" s="22"/>
      <c r="K45" s="22"/>
      <c r="L45" s="110" t="s">
        <v>297</v>
      </c>
      <c r="M45" s="108">
        <v>0</v>
      </c>
      <c r="N45" s="108">
        <v>0</v>
      </c>
      <c r="O45" s="108">
        <f>АДМИНИСТРАЦИЯ!BJ51</f>
        <v>0</v>
      </c>
      <c r="P45" s="108">
        <f>АДМИНИСТРАЦИЯ!CG51</f>
        <v>0</v>
      </c>
      <c r="Q45" s="108">
        <f>АДМИНИСТРАЦИЯ!DC51</f>
        <v>0</v>
      </c>
    </row>
    <row r="46" spans="1:17" ht="144" x14ac:dyDescent="0.2">
      <c r="A46" s="86" t="s">
        <v>355</v>
      </c>
      <c r="B46" s="74">
        <v>2617</v>
      </c>
      <c r="C46" s="21" t="s">
        <v>111</v>
      </c>
      <c r="D46" s="21" t="s">
        <v>460</v>
      </c>
      <c r="E46" s="21" t="s">
        <v>176</v>
      </c>
      <c r="F46" s="41"/>
      <c r="G46" s="41"/>
      <c r="H46" s="41"/>
      <c r="I46" s="21" t="s">
        <v>741</v>
      </c>
      <c r="J46" s="21" t="s">
        <v>692</v>
      </c>
      <c r="K46" s="21" t="s">
        <v>742</v>
      </c>
      <c r="L46" s="109" t="s">
        <v>298</v>
      </c>
      <c r="M46" s="108">
        <f>'ОТДЕЛ КУЛЬТУРЫ'!N20</f>
        <v>1288.7</v>
      </c>
      <c r="N46" s="108">
        <f>'ОТДЕЛ КУЛЬТУРЫ'!X20</f>
        <v>1288.7</v>
      </c>
      <c r="O46" s="108">
        <f>'ОТДЕЛ КУЛЬТУРЫ'!AH20</f>
        <v>1368.8</v>
      </c>
      <c r="P46" s="108">
        <f>'ОТДЕЛ КУЛЬТУРЫ'!AR20</f>
        <v>1368.8</v>
      </c>
      <c r="Q46" s="108">
        <f>'ОТДЕЛ КУЛЬТУРЫ'!BB20</f>
        <v>1368.8</v>
      </c>
    </row>
    <row r="47" spans="1:17" ht="123.75" x14ac:dyDescent="0.2">
      <c r="A47" s="86" t="s">
        <v>356</v>
      </c>
      <c r="B47" s="74">
        <v>2619</v>
      </c>
      <c r="C47" s="21" t="s">
        <v>113</v>
      </c>
      <c r="D47" s="21" t="s">
        <v>461</v>
      </c>
      <c r="E47" s="21" t="s">
        <v>177</v>
      </c>
      <c r="F47" s="21" t="s">
        <v>465</v>
      </c>
      <c r="G47" s="21" t="s">
        <v>466</v>
      </c>
      <c r="H47" s="21" t="s">
        <v>570</v>
      </c>
      <c r="I47" s="21"/>
      <c r="J47" s="21"/>
      <c r="K47" s="21"/>
      <c r="L47" s="110" t="s">
        <v>512</v>
      </c>
      <c r="M47" s="108">
        <f>АДМИНИСТРАЦИЯ!N53+'ОТДЕЛ ОБРАЗОВАНИЯ'!N22+'ОТДЕЛ КУЛЬТУРЫ'!N21+ФУ!N18</f>
        <v>250.1</v>
      </c>
      <c r="N47" s="108">
        <f>АДМИНИСТРАЦИЯ!AL53+'ОТДЕЛ ОБРАЗОВАНИЯ'!Z22+'ОТДЕЛ КУЛЬТУРЫ'!X21+ФУ!Q18</f>
        <v>187.49999999999997</v>
      </c>
      <c r="O47" s="108">
        <f>АДМИНИСТРАЦИЯ!BJ53+'ОТДЕЛ ОБРАЗОВАНИЯ'!AL22+'ОТДЕЛ КУЛЬТУРЫ'!AH21+ФУ!T18</f>
        <v>0</v>
      </c>
      <c r="P47" s="108">
        <f>АДМИНИСТРАЦИЯ!CG53+'ОТДЕЛ ОБРАЗОВАНИЯ'!AW22+'ОТДЕЛ КУЛЬТУРЫ'!AR21+ФУ!X18</f>
        <v>0</v>
      </c>
      <c r="Q47" s="108">
        <f>АДМИНИСТРАЦИЯ!DC53+'ОТДЕЛ ОБРАЗОВАНИЯ'!BH22+'ОТДЕЛ КУЛЬТУРЫ'!BB21+ФУ!AB18</f>
        <v>0</v>
      </c>
    </row>
    <row r="48" spans="1:17" ht="180" x14ac:dyDescent="0.2">
      <c r="A48" s="86" t="s">
        <v>362</v>
      </c>
      <c r="B48" s="74">
        <v>2623</v>
      </c>
      <c r="C48" s="21" t="s">
        <v>113</v>
      </c>
      <c r="D48" s="21" t="s">
        <v>301</v>
      </c>
      <c r="E48" s="21" t="s">
        <v>177</v>
      </c>
      <c r="F48" s="21" t="s">
        <v>571</v>
      </c>
      <c r="G48" s="45" t="s">
        <v>640</v>
      </c>
      <c r="H48" s="45" t="s">
        <v>641</v>
      </c>
      <c r="I48" s="21" t="s">
        <v>627</v>
      </c>
      <c r="J48" s="45" t="s">
        <v>572</v>
      </c>
      <c r="K48" s="45" t="s">
        <v>628</v>
      </c>
      <c r="L48" s="117" t="s">
        <v>299</v>
      </c>
      <c r="M48" s="108">
        <f>АДМИНИСТРАЦИЯ!N58</f>
        <v>6055.1</v>
      </c>
      <c r="N48" s="108">
        <f>АДМИНИСТРАЦИЯ!AL58</f>
        <v>6055.1</v>
      </c>
      <c r="O48" s="114">
        <f>АДМИНИСТРАЦИЯ!BJ58</f>
        <v>7533.3</v>
      </c>
      <c r="P48" s="114">
        <f>АДМИНИСТРАЦИЯ!CG58</f>
        <v>7533.3</v>
      </c>
      <c r="Q48" s="114">
        <f>АДМИНИСТРАЦИЯ!DC58</f>
        <v>7533.3</v>
      </c>
    </row>
    <row r="49" spans="1:18" ht="73.5" x14ac:dyDescent="0.2">
      <c r="A49" s="60" t="s">
        <v>358</v>
      </c>
      <c r="B49" s="61" t="s">
        <v>357</v>
      </c>
      <c r="C49" s="66" t="s">
        <v>10</v>
      </c>
      <c r="D49" s="67" t="s">
        <v>10</v>
      </c>
      <c r="E49" s="67" t="s">
        <v>10</v>
      </c>
      <c r="F49" s="66" t="s">
        <v>10</v>
      </c>
      <c r="G49" s="67" t="s">
        <v>10</v>
      </c>
      <c r="H49" s="67" t="s">
        <v>10</v>
      </c>
      <c r="I49" s="66" t="s">
        <v>10</v>
      </c>
      <c r="J49" s="67" t="s">
        <v>10</v>
      </c>
      <c r="K49" s="67" t="s">
        <v>10</v>
      </c>
      <c r="L49" s="64" t="s">
        <v>10</v>
      </c>
      <c r="M49" s="112">
        <f>M50+M51+M52+M53</f>
        <v>0</v>
      </c>
      <c r="N49" s="112">
        <f t="shared" ref="N49:Q49" si="2">N50+N51+N52+N53</f>
        <v>0</v>
      </c>
      <c r="O49" s="112">
        <f t="shared" si="2"/>
        <v>0</v>
      </c>
      <c r="P49" s="112">
        <f t="shared" si="2"/>
        <v>0</v>
      </c>
      <c r="Q49" s="112">
        <f t="shared" si="2"/>
        <v>0</v>
      </c>
      <c r="R49" s="68"/>
    </row>
    <row r="50" spans="1:18" ht="22.5" x14ac:dyDescent="0.2">
      <c r="A50" s="65" t="s">
        <v>359</v>
      </c>
      <c r="B50" s="69">
        <v>2701</v>
      </c>
      <c r="C50" s="66" t="s">
        <v>10</v>
      </c>
      <c r="D50" s="67" t="s">
        <v>10</v>
      </c>
      <c r="E50" s="67" t="s">
        <v>10</v>
      </c>
      <c r="F50" s="66" t="s">
        <v>10</v>
      </c>
      <c r="G50" s="67" t="s">
        <v>10</v>
      </c>
      <c r="H50" s="67" t="s">
        <v>10</v>
      </c>
      <c r="I50" s="66" t="s">
        <v>10</v>
      </c>
      <c r="J50" s="67" t="s">
        <v>10</v>
      </c>
      <c r="K50" s="67" t="s">
        <v>10</v>
      </c>
      <c r="L50" s="64" t="s">
        <v>10</v>
      </c>
      <c r="M50" s="113">
        <v>0</v>
      </c>
      <c r="N50" s="113">
        <v>0</v>
      </c>
      <c r="O50" s="113">
        <v>0</v>
      </c>
      <c r="P50" s="113">
        <v>0</v>
      </c>
      <c r="Q50" s="113">
        <v>0</v>
      </c>
      <c r="R50" s="68"/>
    </row>
    <row r="51" spans="1:18" ht="45" x14ac:dyDescent="0.2">
      <c r="A51" s="65" t="s">
        <v>360</v>
      </c>
      <c r="B51" s="69">
        <v>2800</v>
      </c>
      <c r="C51" s="66" t="s">
        <v>10</v>
      </c>
      <c r="D51" s="67" t="s">
        <v>10</v>
      </c>
      <c r="E51" s="67" t="s">
        <v>10</v>
      </c>
      <c r="F51" s="66" t="s">
        <v>10</v>
      </c>
      <c r="G51" s="67" t="s">
        <v>10</v>
      </c>
      <c r="H51" s="67" t="s">
        <v>10</v>
      </c>
      <c r="I51" s="66" t="s">
        <v>10</v>
      </c>
      <c r="J51" s="67" t="s">
        <v>10</v>
      </c>
      <c r="K51" s="67" t="s">
        <v>10</v>
      </c>
      <c r="L51" s="64" t="s">
        <v>10</v>
      </c>
      <c r="M51" s="113">
        <v>0</v>
      </c>
      <c r="N51" s="113">
        <v>0</v>
      </c>
      <c r="O51" s="113">
        <v>0</v>
      </c>
      <c r="P51" s="113">
        <v>0</v>
      </c>
      <c r="Q51" s="113">
        <v>0</v>
      </c>
    </row>
    <row r="52" spans="1:18" ht="67.5" x14ac:dyDescent="0.2">
      <c r="A52" s="65" t="s">
        <v>361</v>
      </c>
      <c r="B52" s="69">
        <v>2900</v>
      </c>
      <c r="C52" s="66" t="s">
        <v>10</v>
      </c>
      <c r="D52" s="67" t="s">
        <v>10</v>
      </c>
      <c r="E52" s="67" t="s">
        <v>10</v>
      </c>
      <c r="F52" s="66" t="s">
        <v>10</v>
      </c>
      <c r="G52" s="67" t="s">
        <v>10</v>
      </c>
      <c r="H52" s="67" t="s">
        <v>10</v>
      </c>
      <c r="I52" s="66" t="s">
        <v>10</v>
      </c>
      <c r="J52" s="67" t="s">
        <v>10</v>
      </c>
      <c r="K52" s="67" t="s">
        <v>10</v>
      </c>
      <c r="L52" s="64" t="s">
        <v>10</v>
      </c>
      <c r="M52" s="113">
        <v>0</v>
      </c>
      <c r="N52" s="113">
        <v>0</v>
      </c>
      <c r="O52" s="113">
        <v>0</v>
      </c>
      <c r="P52" s="113">
        <v>0</v>
      </c>
      <c r="Q52" s="113">
        <v>0</v>
      </c>
    </row>
    <row r="53" spans="1:18" ht="67.5" x14ac:dyDescent="0.2">
      <c r="A53" s="65" t="s">
        <v>363</v>
      </c>
      <c r="B53" s="69">
        <v>3000</v>
      </c>
      <c r="C53" s="66"/>
      <c r="D53" s="67"/>
      <c r="E53" s="67"/>
      <c r="F53" s="66"/>
      <c r="G53" s="67"/>
      <c r="H53" s="67"/>
      <c r="I53" s="66"/>
      <c r="J53" s="67"/>
      <c r="K53" s="67"/>
      <c r="L53" s="64"/>
      <c r="M53" s="113">
        <v>0</v>
      </c>
      <c r="N53" s="113">
        <v>0</v>
      </c>
      <c r="O53" s="113">
        <v>0</v>
      </c>
      <c r="P53" s="113">
        <v>0</v>
      </c>
      <c r="Q53" s="113">
        <v>0</v>
      </c>
    </row>
    <row r="54" spans="1:18" ht="94.5" x14ac:dyDescent="0.2">
      <c r="A54" s="60" t="s">
        <v>364</v>
      </c>
      <c r="B54" s="122">
        <v>3100</v>
      </c>
      <c r="C54" s="66" t="s">
        <v>10</v>
      </c>
      <c r="D54" s="67" t="s">
        <v>10</v>
      </c>
      <c r="E54" s="67" t="s">
        <v>10</v>
      </c>
      <c r="F54" s="66" t="s">
        <v>10</v>
      </c>
      <c r="G54" s="67" t="s">
        <v>10</v>
      </c>
      <c r="H54" s="67" t="s">
        <v>10</v>
      </c>
      <c r="I54" s="66" t="s">
        <v>10</v>
      </c>
      <c r="J54" s="67" t="s">
        <v>10</v>
      </c>
      <c r="K54" s="67" t="s">
        <v>10</v>
      </c>
      <c r="L54" s="64" t="s">
        <v>10</v>
      </c>
      <c r="M54" s="112">
        <f t="shared" ref="M54:Q54" si="3">M55+M60+M72</f>
        <v>46236.5</v>
      </c>
      <c r="N54" s="112">
        <f t="shared" si="3"/>
        <v>42363.500000000007</v>
      </c>
      <c r="O54" s="112">
        <f t="shared" si="3"/>
        <v>41966.000000000007</v>
      </c>
      <c r="P54" s="112">
        <f t="shared" si="3"/>
        <v>39160.700000000004</v>
      </c>
      <c r="Q54" s="112">
        <f t="shared" si="3"/>
        <v>42193.1</v>
      </c>
    </row>
    <row r="55" spans="1:18" ht="22.5" x14ac:dyDescent="0.2">
      <c r="A55" s="65" t="s">
        <v>365</v>
      </c>
      <c r="B55" s="69">
        <v>3101</v>
      </c>
      <c r="C55" s="66" t="s">
        <v>10</v>
      </c>
      <c r="D55" s="67" t="s">
        <v>10</v>
      </c>
      <c r="E55" s="67" t="s">
        <v>10</v>
      </c>
      <c r="F55" s="66" t="s">
        <v>10</v>
      </c>
      <c r="G55" s="67" t="s">
        <v>10</v>
      </c>
      <c r="H55" s="67" t="s">
        <v>10</v>
      </c>
      <c r="I55" s="66" t="s">
        <v>10</v>
      </c>
      <c r="J55" s="67" t="s">
        <v>10</v>
      </c>
      <c r="K55" s="67" t="s">
        <v>10</v>
      </c>
      <c r="L55" s="64" t="s">
        <v>10</v>
      </c>
      <c r="M55" s="112">
        <f>SUM(M56:M59)</f>
        <v>2338.6999999999998</v>
      </c>
      <c r="N55" s="112">
        <f>SUM(N56:N59)</f>
        <v>2338.6999999999998</v>
      </c>
      <c r="O55" s="112">
        <f>SUM(O56:O59)</f>
        <v>2138.1000000000004</v>
      </c>
      <c r="P55" s="112">
        <f>SUM(P56:P59)</f>
        <v>2231.1000000000004</v>
      </c>
      <c r="Q55" s="112">
        <f>SUM(Q56:Q59)</f>
        <v>2269</v>
      </c>
    </row>
    <row r="56" spans="1:18" ht="84" x14ac:dyDescent="0.2">
      <c r="A56" s="86" t="s">
        <v>367</v>
      </c>
      <c r="B56" s="74">
        <v>3102</v>
      </c>
      <c r="C56" s="21" t="s">
        <v>113</v>
      </c>
      <c r="D56" s="21" t="s">
        <v>468</v>
      </c>
      <c r="E56" s="21" t="s">
        <v>178</v>
      </c>
      <c r="F56" s="21" t="s">
        <v>117</v>
      </c>
      <c r="G56" s="42" t="s">
        <v>482</v>
      </c>
      <c r="H56" s="45" t="s">
        <v>573</v>
      </c>
      <c r="I56" s="38" t="s">
        <v>646</v>
      </c>
      <c r="J56" s="38" t="s">
        <v>63</v>
      </c>
      <c r="K56" s="39" t="s">
        <v>647</v>
      </c>
      <c r="L56" s="151" t="s">
        <v>286</v>
      </c>
      <c r="M56" s="115">
        <f>АДМИНИСТРАЦИЯ!N62</f>
        <v>1295.9000000000001</v>
      </c>
      <c r="N56" s="115">
        <f>АДМИНИСТРАЦИЯ!AL62</f>
        <v>1295.9000000000001</v>
      </c>
      <c r="O56" s="115">
        <f>АДМИНИСТРАЦИЯ!BJ62</f>
        <v>1085.5</v>
      </c>
      <c r="P56" s="115">
        <f>АДМИНИСТРАЦИЯ!CG62</f>
        <v>1134.4000000000001</v>
      </c>
      <c r="Q56" s="115">
        <f>АДМИНИСТРАЦИЯ!DC62</f>
        <v>1134.4000000000001</v>
      </c>
    </row>
    <row r="57" spans="1:18" ht="108" x14ac:dyDescent="0.2">
      <c r="A57" s="86" t="s">
        <v>366</v>
      </c>
      <c r="B57" s="74">
        <v>3103</v>
      </c>
      <c r="C57" s="21" t="s">
        <v>253</v>
      </c>
      <c r="D57" s="21" t="s">
        <v>481</v>
      </c>
      <c r="E57" s="21" t="s">
        <v>252</v>
      </c>
      <c r="F57" s="21" t="s">
        <v>254</v>
      </c>
      <c r="G57" s="42" t="s">
        <v>63</v>
      </c>
      <c r="H57" s="45" t="s">
        <v>487</v>
      </c>
      <c r="I57" s="75"/>
      <c r="J57" s="76"/>
      <c r="K57" s="76"/>
      <c r="L57" s="151" t="s">
        <v>300</v>
      </c>
      <c r="M57" s="115">
        <f>АДМИНИСТРАЦИЯ!N63</f>
        <v>36.299999999999997</v>
      </c>
      <c r="N57" s="115">
        <f>АДМИНИСТРАЦИЯ!AL63</f>
        <v>36.299999999999997</v>
      </c>
      <c r="O57" s="115">
        <f>АДМИНИСТРАЦИЯ!BJ63</f>
        <v>0.9</v>
      </c>
      <c r="P57" s="115">
        <f>АДМИНИСТРАЦИЯ!CG63</f>
        <v>0.9</v>
      </c>
      <c r="Q57" s="115">
        <f>АДМИНИСТРАЦИЯ!DC63</f>
        <v>0.8</v>
      </c>
    </row>
    <row r="58" spans="1:18" ht="108" x14ac:dyDescent="0.2">
      <c r="A58" s="86" t="s">
        <v>369</v>
      </c>
      <c r="B58" s="74">
        <v>3104</v>
      </c>
      <c r="C58" s="21" t="s">
        <v>483</v>
      </c>
      <c r="D58" s="21" t="s">
        <v>484</v>
      </c>
      <c r="E58" s="21" t="s">
        <v>485</v>
      </c>
      <c r="F58" s="21" t="s">
        <v>486</v>
      </c>
      <c r="G58" s="42" t="s">
        <v>63</v>
      </c>
      <c r="H58" s="45" t="s">
        <v>487</v>
      </c>
      <c r="I58" s="38" t="s">
        <v>743</v>
      </c>
      <c r="J58" s="38" t="s">
        <v>744</v>
      </c>
      <c r="K58" s="39" t="s">
        <v>745</v>
      </c>
      <c r="L58" s="151" t="s">
        <v>368</v>
      </c>
      <c r="M58" s="115">
        <f>АДМИНИСТРАЦИЯ!N64</f>
        <v>1006.5</v>
      </c>
      <c r="N58" s="115">
        <f>АДМИНИСТРАЦИЯ!AL64</f>
        <v>1006.5</v>
      </c>
      <c r="O58" s="115">
        <f>АДМИНИСТРАЦИЯ!BJ64</f>
        <v>1051.7</v>
      </c>
      <c r="P58" s="115">
        <f>АДМИНИСТРАЦИЯ!CG64</f>
        <v>1095.8</v>
      </c>
      <c r="Q58" s="115">
        <f>АДМИНИСТРАЦИЯ!DC64</f>
        <v>1133.8</v>
      </c>
    </row>
    <row r="59" spans="1:18" ht="216" x14ac:dyDescent="0.2">
      <c r="A59" s="86" t="s">
        <v>667</v>
      </c>
      <c r="B59" s="74">
        <v>3131</v>
      </c>
      <c r="C59" s="47" t="s">
        <v>668</v>
      </c>
      <c r="D59" s="47" t="s">
        <v>669</v>
      </c>
      <c r="E59" s="47" t="s">
        <v>670</v>
      </c>
      <c r="F59" s="47" t="s">
        <v>671</v>
      </c>
      <c r="G59" s="47" t="s">
        <v>672</v>
      </c>
      <c r="H59" s="47" t="s">
        <v>673</v>
      </c>
      <c r="I59" s="47"/>
      <c r="J59" s="47"/>
      <c r="K59" s="47"/>
      <c r="L59" s="117" t="s">
        <v>286</v>
      </c>
      <c r="M59" s="115">
        <f>АДМИНИСТРАЦИЯ!N65</f>
        <v>0</v>
      </c>
      <c r="N59" s="115">
        <f>АДМИНИСТРАЦИЯ!AL65</f>
        <v>0</v>
      </c>
      <c r="O59" s="115">
        <f>АДМИНИСТРАЦИЯ!BJ65</f>
        <v>0</v>
      </c>
      <c r="P59" s="115">
        <f>АДМИНИСТРАЦИЯ!CG65</f>
        <v>0</v>
      </c>
      <c r="Q59" s="115">
        <f>АДМИНИСТРАЦИЯ!CH65</f>
        <v>0</v>
      </c>
    </row>
    <row r="60" spans="1:18" ht="22.5" x14ac:dyDescent="0.2">
      <c r="A60" s="65" t="s">
        <v>370</v>
      </c>
      <c r="B60" s="69">
        <v>3200</v>
      </c>
      <c r="C60" s="66" t="s">
        <v>10</v>
      </c>
      <c r="D60" s="67" t="s">
        <v>10</v>
      </c>
      <c r="E60" s="67" t="s">
        <v>10</v>
      </c>
      <c r="F60" s="66" t="s">
        <v>10</v>
      </c>
      <c r="G60" s="67" t="s">
        <v>10</v>
      </c>
      <c r="H60" s="67" t="s">
        <v>10</v>
      </c>
      <c r="I60" s="66" t="s">
        <v>10</v>
      </c>
      <c r="J60" s="67" t="s">
        <v>10</v>
      </c>
      <c r="K60" s="67" t="s">
        <v>10</v>
      </c>
      <c r="L60" s="64" t="s">
        <v>10</v>
      </c>
      <c r="M60" s="112">
        <f>SUM(M61:M70)</f>
        <v>43897.8</v>
      </c>
      <c r="N60" s="112">
        <f>SUM(N61:N70)</f>
        <v>40024.80000000001</v>
      </c>
      <c r="O60" s="112">
        <f>SUM(O61:O71)</f>
        <v>39827.900000000009</v>
      </c>
      <c r="P60" s="112">
        <f>SUM(P61:P71)</f>
        <v>36929.600000000006</v>
      </c>
      <c r="Q60" s="112">
        <f>SUM(Q61:Q71)</f>
        <v>39924.1</v>
      </c>
    </row>
    <row r="61" spans="1:18" ht="409.5" x14ac:dyDescent="0.2">
      <c r="A61" s="86" t="s">
        <v>371</v>
      </c>
      <c r="B61" s="74">
        <v>3201</v>
      </c>
      <c r="C61" s="21" t="s">
        <v>474</v>
      </c>
      <c r="D61" s="21" t="s">
        <v>475</v>
      </c>
      <c r="E61" s="21" t="s">
        <v>575</v>
      </c>
      <c r="F61" s="47" t="s">
        <v>576</v>
      </c>
      <c r="G61" s="47" t="s">
        <v>477</v>
      </c>
      <c r="H61" s="47" t="s">
        <v>478</v>
      </c>
      <c r="I61" s="148" t="s">
        <v>746</v>
      </c>
      <c r="J61" s="22" t="s">
        <v>203</v>
      </c>
      <c r="K61" s="38" t="s">
        <v>747</v>
      </c>
      <c r="L61" s="117" t="s">
        <v>302</v>
      </c>
      <c r="M61" s="115">
        <f>АДМИНИСТРАЦИЯ!N67+'ОТДЕЛ ОБРАЗОВАНИЯ'!N31</f>
        <v>468.9</v>
      </c>
      <c r="N61" s="115">
        <f>АДМИНИСТРАЦИЯ!AL67+'ОТДЕЛ ОБРАЗОВАНИЯ'!Z31</f>
        <v>277.7</v>
      </c>
      <c r="O61" s="115">
        <f>АДМИНИСТРАЦИЯ!BJ67+'ОТДЕЛ ОБРАЗОВАНИЯ'!AL31</f>
        <v>323</v>
      </c>
      <c r="P61" s="115">
        <f>АДМИНИСТРАЦИЯ!CG67+'ОТДЕЛ ОБРАЗОВАНИЯ'!AW31</f>
        <v>366.5</v>
      </c>
      <c r="Q61" s="115">
        <f>АДМИНИСТРАЦИЯ!DC67+'ОТДЕЛ ОБРАЗОВАНИЯ'!BH31</f>
        <v>366.5</v>
      </c>
    </row>
    <row r="62" spans="1:18" ht="409.5" x14ac:dyDescent="0.2">
      <c r="A62" s="86" t="s">
        <v>372</v>
      </c>
      <c r="B62" s="74">
        <v>3202</v>
      </c>
      <c r="C62" s="21" t="s">
        <v>474</v>
      </c>
      <c r="D62" s="21" t="s">
        <v>475</v>
      </c>
      <c r="E62" s="21" t="s">
        <v>575</v>
      </c>
      <c r="F62" s="47" t="s">
        <v>476</v>
      </c>
      <c r="G62" s="47" t="s">
        <v>477</v>
      </c>
      <c r="H62" s="47" t="s">
        <v>478</v>
      </c>
      <c r="I62" s="148" t="s">
        <v>746</v>
      </c>
      <c r="J62" s="22" t="s">
        <v>689</v>
      </c>
      <c r="K62" s="38" t="s">
        <v>748</v>
      </c>
      <c r="L62" s="117" t="s">
        <v>302</v>
      </c>
      <c r="M62" s="115">
        <f>АДМИНИСТРАЦИЯ!N68+'ОТДЕЛ ОБРАЗОВАНИЯ'!N32</f>
        <v>605.59999999999991</v>
      </c>
      <c r="N62" s="115">
        <f>АДМИНИСТРАЦИЯ!AL68+'ОТДЕЛ ОБРАЗОВАНИЯ'!Z32</f>
        <v>598.4</v>
      </c>
      <c r="O62" s="115">
        <f>АДМИНИСТРАЦИЯ!BJ68+'ОТДЕЛ ОБРАЗОВАНИЯ'!AL32</f>
        <v>721.40000000000009</v>
      </c>
      <c r="P62" s="115">
        <f>АДМИНИСТРАЦИЯ!CG68+'ОТДЕЛ ОБРАЗОВАНИЯ'!AW32</f>
        <v>721.40000000000009</v>
      </c>
      <c r="Q62" s="115">
        <f>АДМИНИСТРАЦИЯ!DC68+'ОТДЕЛ ОБРАЗОВАНИЯ'!BH32</f>
        <v>721.40000000000009</v>
      </c>
    </row>
    <row r="63" spans="1:18" ht="180" hidden="1" x14ac:dyDescent="0.2">
      <c r="A63" s="86" t="s">
        <v>421</v>
      </c>
      <c r="B63" s="74">
        <v>3207</v>
      </c>
      <c r="C63" s="21" t="s">
        <v>119</v>
      </c>
      <c r="D63" s="21" t="s">
        <v>470</v>
      </c>
      <c r="E63" s="21" t="s">
        <v>577</v>
      </c>
      <c r="F63" s="21" t="s">
        <v>303</v>
      </c>
      <c r="G63" s="45" t="s">
        <v>488</v>
      </c>
      <c r="H63" s="45" t="s">
        <v>578</v>
      </c>
      <c r="I63" s="38" t="s">
        <v>304</v>
      </c>
      <c r="J63" s="22" t="s">
        <v>63</v>
      </c>
      <c r="K63" s="38" t="s">
        <v>574</v>
      </c>
      <c r="L63" s="116" t="s">
        <v>288</v>
      </c>
      <c r="M63" s="115">
        <f>АДМИНИСТРАЦИЯ!N69</f>
        <v>0</v>
      </c>
      <c r="N63" s="115">
        <f>АДМИНИСТРАЦИЯ!AL69</f>
        <v>0</v>
      </c>
      <c r="O63" s="115">
        <f>АДМИНИСТРАЦИЯ!BJ69</f>
        <v>0</v>
      </c>
      <c r="P63" s="115">
        <f>АДМИНИСТРАЦИЯ!CG69</f>
        <v>0</v>
      </c>
      <c r="Q63" s="115">
        <f>АДМИНИСТРАЦИЯ!DC69</f>
        <v>0</v>
      </c>
    </row>
    <row r="64" spans="1:18" ht="312" x14ac:dyDescent="0.2">
      <c r="A64" s="86" t="s">
        <v>422</v>
      </c>
      <c r="B64" s="74">
        <v>3228</v>
      </c>
      <c r="C64" s="21" t="s">
        <v>305</v>
      </c>
      <c r="D64" s="21" t="s">
        <v>469</v>
      </c>
      <c r="E64" s="21" t="s">
        <v>579</v>
      </c>
      <c r="F64" s="21" t="s">
        <v>762</v>
      </c>
      <c r="G64" s="47" t="s">
        <v>763</v>
      </c>
      <c r="H64" s="75" t="s">
        <v>764</v>
      </c>
      <c r="I64" s="21" t="s">
        <v>749</v>
      </c>
      <c r="J64" s="45" t="s">
        <v>750</v>
      </c>
      <c r="K64" s="45" t="s">
        <v>751</v>
      </c>
      <c r="L64" s="118" t="s">
        <v>494</v>
      </c>
      <c r="M64" s="115">
        <f>АДМИНИСТРАЦИЯ!N70</f>
        <v>11781</v>
      </c>
      <c r="N64" s="115">
        <f>АДМИНИСТРАЦИЯ!AL70</f>
        <v>11348.300000000001</v>
      </c>
      <c r="O64" s="115">
        <f>АДМИНИСТРАЦИЯ!BJ70</f>
        <v>2856</v>
      </c>
      <c r="P64" s="115">
        <f>АДМИНИСТРАЦИЯ!CG70</f>
        <v>2863.9</v>
      </c>
      <c r="Q64" s="115">
        <f>АДМИНИСТРАЦИЯ!DC70</f>
        <v>5664.8</v>
      </c>
    </row>
    <row r="65" spans="1:18" ht="252" x14ac:dyDescent="0.2">
      <c r="A65" s="86" t="s">
        <v>423</v>
      </c>
      <c r="B65" s="74">
        <v>3236</v>
      </c>
      <c r="C65" s="47" t="s">
        <v>129</v>
      </c>
      <c r="D65" s="75" t="s">
        <v>580</v>
      </c>
      <c r="E65" s="47" t="s">
        <v>581</v>
      </c>
      <c r="F65" s="47" t="s">
        <v>759</v>
      </c>
      <c r="G65" s="47" t="s">
        <v>760</v>
      </c>
      <c r="H65" s="75" t="s">
        <v>761</v>
      </c>
      <c r="I65" s="47" t="s">
        <v>752</v>
      </c>
      <c r="J65" s="45" t="s">
        <v>203</v>
      </c>
      <c r="K65" s="45" t="s">
        <v>753</v>
      </c>
      <c r="L65" s="117" t="s">
        <v>293</v>
      </c>
      <c r="M65" s="115">
        <f>АДМИНИСТРАЦИЯ!N71+'ОТДЕЛ ОБРАЗОВАНИЯ'!N33+'ОТДЕЛ КУЛЬТУРЫ'!N30</f>
        <v>22870.7</v>
      </c>
      <c r="N65" s="115">
        <f>АДМИНИСТРАЦИЯ!AL71+'ОТДЕЛ ОБРАЗОВАНИЯ'!Z33+'ОТДЕЛ КУЛЬТУРЫ'!X30</f>
        <v>20095.2</v>
      </c>
      <c r="O65" s="115">
        <f>АДМИНИСТРАЦИЯ!BJ71+'ОТДЕЛ ОБРАЗОВАНИЯ'!AL33+'ОТДЕЛ КУЛЬТУРЫ'!AH30</f>
        <v>25209.399999999998</v>
      </c>
      <c r="P65" s="115">
        <f>АДМИНИСТРАЦИЯ!CG71+'ОТДЕЛ ОБРАЗОВАНИЯ'!AW33+'ОТДЕЛ КУЛЬТУРЫ'!AR30</f>
        <v>23405.800000000003</v>
      </c>
      <c r="Q65" s="115">
        <f>АДМИНИСТРАЦИЯ!DC71+'ОТДЕЛ ОБРАЗОВАНИЯ'!BH33+'ОТДЕЛ КУЛЬТУРЫ'!BB30</f>
        <v>23234.400000000001</v>
      </c>
    </row>
    <row r="66" spans="1:18" ht="247.5" x14ac:dyDescent="0.2">
      <c r="A66" s="86" t="s">
        <v>424</v>
      </c>
      <c r="B66" s="74">
        <v>3237</v>
      </c>
      <c r="C66" s="21" t="s">
        <v>113</v>
      </c>
      <c r="D66" s="21" t="s">
        <v>468</v>
      </c>
      <c r="E66" s="21" t="s">
        <v>178</v>
      </c>
      <c r="F66" s="47" t="s">
        <v>756</v>
      </c>
      <c r="G66" s="47" t="s">
        <v>757</v>
      </c>
      <c r="H66" s="75" t="s">
        <v>758</v>
      </c>
      <c r="I66" s="47" t="s">
        <v>604</v>
      </c>
      <c r="J66" s="47" t="s">
        <v>63</v>
      </c>
      <c r="K66" s="47" t="s">
        <v>605</v>
      </c>
      <c r="L66" s="117" t="s">
        <v>493</v>
      </c>
      <c r="M66" s="115">
        <f>'ОТДЕЛ ОБРАЗОВАНИЯ'!N34</f>
        <v>3125.6</v>
      </c>
      <c r="N66" s="115">
        <f>'ОТДЕЛ ОБРАЗОВАНИЯ'!Z34</f>
        <v>2801.5</v>
      </c>
      <c r="O66" s="115">
        <f>АДМИНИСТРАЦИЯ!BJ72+'ОТДЕЛ ОБРАЗОВАНИЯ'!AL34+ФУ!T27</f>
        <v>5273.5</v>
      </c>
      <c r="P66" s="115">
        <f>АДМИНИСТРАЦИЯ!CG72+'ОТДЕЛ ОБРАЗОВАНИЯ'!AW34+ФУ!X27</f>
        <v>3846.7</v>
      </c>
      <c r="Q66" s="115">
        <f>АДМИНИСТРАЦИЯ!DC72+'ОТДЕЛ ОБРАЗОВАНИЯ'!BH34+ФУ!AB27</f>
        <v>3846.7</v>
      </c>
      <c r="R66" s="135"/>
    </row>
    <row r="67" spans="1:18" ht="336" x14ac:dyDescent="0.2">
      <c r="A67" s="86" t="s">
        <v>425</v>
      </c>
      <c r="B67" s="74">
        <v>3239</v>
      </c>
      <c r="C67" s="21" t="s">
        <v>467</v>
      </c>
      <c r="D67" s="21" t="s">
        <v>470</v>
      </c>
      <c r="E67" s="21" t="s">
        <v>582</v>
      </c>
      <c r="F67" s="46" t="s">
        <v>471</v>
      </c>
      <c r="G67" s="22" t="s">
        <v>472</v>
      </c>
      <c r="H67" s="22" t="s">
        <v>583</v>
      </c>
      <c r="I67" s="21" t="s">
        <v>584</v>
      </c>
      <c r="J67" s="45" t="s">
        <v>183</v>
      </c>
      <c r="K67" s="45" t="s">
        <v>585</v>
      </c>
      <c r="L67" s="116" t="s">
        <v>302</v>
      </c>
      <c r="M67" s="115">
        <f>АДМИНИСТРАЦИЯ!N73</f>
        <v>878.8</v>
      </c>
      <c r="N67" s="115">
        <f>АДМИНИСТРАЦИЯ!AL73</f>
        <v>878.8</v>
      </c>
      <c r="O67" s="115">
        <f>АДМИНИСТРАЦИЯ!BJ73</f>
        <v>924.8</v>
      </c>
      <c r="P67" s="115">
        <f>АДМИНИСТРАЦИЯ!CG73</f>
        <v>961.69999999999993</v>
      </c>
      <c r="Q67" s="115">
        <f>АДМИНИСТРАЦИЯ!DC73</f>
        <v>961.69999999999993</v>
      </c>
    </row>
    <row r="68" spans="1:18" ht="130.5" customHeight="1" x14ac:dyDescent="0.2">
      <c r="A68" s="86" t="s">
        <v>426</v>
      </c>
      <c r="B68" s="74">
        <v>3241</v>
      </c>
      <c r="C68" s="21" t="s">
        <v>492</v>
      </c>
      <c r="D68" s="21" t="s">
        <v>586</v>
      </c>
      <c r="E68" s="21" t="s">
        <v>587</v>
      </c>
      <c r="F68" s="47" t="s">
        <v>491</v>
      </c>
      <c r="G68" s="47" t="s">
        <v>306</v>
      </c>
      <c r="H68" s="75" t="s">
        <v>588</v>
      </c>
      <c r="I68" s="22" t="s">
        <v>606</v>
      </c>
      <c r="J68" s="22" t="s">
        <v>63</v>
      </c>
      <c r="K68" s="37" t="s">
        <v>605</v>
      </c>
      <c r="L68" s="117" t="s">
        <v>282</v>
      </c>
      <c r="M68" s="115">
        <f>'ОТДЕЛ ОБРАЗОВАНИЯ'!N35</f>
        <v>4025.6</v>
      </c>
      <c r="N68" s="115">
        <f>'ОТДЕЛ ОБРАЗОВАНИЯ'!Z35</f>
        <v>4014.1</v>
      </c>
      <c r="O68" s="115">
        <f>АДМИНИСТРАЦИЯ!BJ74+'ОТДЕЛ ОБРАЗОВАНИЯ'!AL35</f>
        <v>4420.3999999999996</v>
      </c>
      <c r="P68" s="115">
        <f>АДМИНИСТРАЦИЯ!CG74+'ОТДЕЛ ОБРАЗОВАНИЯ'!AW35</f>
        <v>4663.7</v>
      </c>
      <c r="Q68" s="115">
        <f>'ОТДЕЛ ОБРАЗОВАНИЯ'!BH35</f>
        <v>5028.7</v>
      </c>
    </row>
    <row r="69" spans="1:18" ht="135" x14ac:dyDescent="0.2">
      <c r="A69" s="86" t="s">
        <v>427</v>
      </c>
      <c r="B69" s="74">
        <v>3254</v>
      </c>
      <c r="C69" s="21" t="s">
        <v>113</v>
      </c>
      <c r="D69" s="21" t="s">
        <v>468</v>
      </c>
      <c r="E69" s="21" t="s">
        <v>178</v>
      </c>
      <c r="F69" s="47" t="s">
        <v>479</v>
      </c>
      <c r="G69" s="47" t="s">
        <v>88</v>
      </c>
      <c r="H69" s="47" t="s">
        <v>480</v>
      </c>
      <c r="I69" s="38" t="s">
        <v>754</v>
      </c>
      <c r="J69" s="38" t="s">
        <v>63</v>
      </c>
      <c r="K69" s="39" t="s">
        <v>755</v>
      </c>
      <c r="L69" s="150" t="s">
        <v>288</v>
      </c>
      <c r="M69" s="115">
        <f>АДМИНИСТРАЦИЯ!N75</f>
        <v>130.80000000000001</v>
      </c>
      <c r="N69" s="115">
        <f>АДМИНИСТРАЦИЯ!AL75</f>
        <v>0</v>
      </c>
      <c r="O69" s="115">
        <f>АДМИНИСТРАЦИЯ!BJ75</f>
        <v>88</v>
      </c>
      <c r="P69" s="115">
        <f>АДМИНИСТРАЦИЯ!CG75</f>
        <v>88</v>
      </c>
      <c r="Q69" s="115">
        <f>АДМИНИСТРАЦИЯ!DC75</f>
        <v>88</v>
      </c>
    </row>
    <row r="70" spans="1:18" ht="144" x14ac:dyDescent="0.2">
      <c r="A70" s="86" t="s">
        <v>428</v>
      </c>
      <c r="B70" s="74">
        <v>3260</v>
      </c>
      <c r="C70" s="21" t="s">
        <v>473</v>
      </c>
      <c r="D70" s="45" t="s">
        <v>589</v>
      </c>
      <c r="E70" s="45" t="s">
        <v>590</v>
      </c>
      <c r="F70" s="43" t="s">
        <v>591</v>
      </c>
      <c r="G70" s="44" t="s">
        <v>120</v>
      </c>
      <c r="H70" s="44" t="s">
        <v>121</v>
      </c>
      <c r="I70" s="38" t="s">
        <v>215</v>
      </c>
      <c r="J70" s="22" t="s">
        <v>63</v>
      </c>
      <c r="K70" s="37" t="s">
        <v>592</v>
      </c>
      <c r="L70" s="117" t="s">
        <v>302</v>
      </c>
      <c r="M70" s="115">
        <f>АДМИНИСТРАЦИЯ!N76</f>
        <v>10.8</v>
      </c>
      <c r="N70" s="115">
        <f>АДМИНИСТРАЦИЯ!AL76</f>
        <v>10.8</v>
      </c>
      <c r="O70" s="115">
        <f>АДМИНИСТРАЦИЯ!BJ76</f>
        <v>11.4</v>
      </c>
      <c r="P70" s="115">
        <f>АДМИНИСТРАЦИЯ!CG76</f>
        <v>11.9</v>
      </c>
      <c r="Q70" s="115">
        <f>АДМИНИСТРАЦИЯ!DC76</f>
        <v>11.9</v>
      </c>
    </row>
    <row r="71" spans="1:18" ht="45" hidden="1" customHeight="1" x14ac:dyDescent="0.2">
      <c r="A71" s="26" t="s">
        <v>430</v>
      </c>
      <c r="B71" s="74">
        <v>3296</v>
      </c>
      <c r="C71" s="21" t="s">
        <v>122</v>
      </c>
      <c r="D71" s="21" t="s">
        <v>468</v>
      </c>
      <c r="E71" s="21" t="s">
        <v>115</v>
      </c>
      <c r="F71" s="47" t="s">
        <v>123</v>
      </c>
      <c r="G71" s="47" t="s">
        <v>124</v>
      </c>
      <c r="H71" s="47" t="s">
        <v>495</v>
      </c>
      <c r="I71" s="22" t="s">
        <v>214</v>
      </c>
      <c r="J71" s="22" t="s">
        <v>63</v>
      </c>
      <c r="K71" s="37" t="s">
        <v>213</v>
      </c>
      <c r="L71" s="117" t="s">
        <v>293</v>
      </c>
      <c r="M71" s="115" t="e">
        <f>АДМИНИСТРАЦИЯ!#REF!+'ОТДЕЛ КУЛЬТУРЫ'!#REF!</f>
        <v>#REF!</v>
      </c>
      <c r="N71" s="115" t="e">
        <f>АДМИНИСТРАЦИЯ!#REF!+'ОТДЕЛ КУЛЬТУРЫ'!#REF!</f>
        <v>#REF!</v>
      </c>
      <c r="O71" s="115">
        <f>АДМИНИСТРАЦИЯ!BJ78+'ОТДЕЛ КУЛЬТУРЫ'!AH31</f>
        <v>0</v>
      </c>
      <c r="P71" s="115">
        <f>АДМИНИСТРАЦИЯ!CG78+'ОТДЕЛ КУЛЬТУРЫ'!AR31</f>
        <v>0</v>
      </c>
      <c r="Q71" s="115">
        <f>АДМИНИСТРАЦИЯ!CH78+'ОТДЕЛ КУЛЬТУРЫ'!AV31</f>
        <v>0</v>
      </c>
    </row>
    <row r="72" spans="1:18" ht="45" x14ac:dyDescent="0.2">
      <c r="A72" s="65" t="s">
        <v>431</v>
      </c>
      <c r="B72" s="69">
        <v>3300</v>
      </c>
      <c r="C72" s="66" t="s">
        <v>10</v>
      </c>
      <c r="D72" s="67" t="s">
        <v>10</v>
      </c>
      <c r="E72" s="67" t="s">
        <v>10</v>
      </c>
      <c r="F72" s="66" t="s">
        <v>10</v>
      </c>
      <c r="G72" s="67" t="s">
        <v>10</v>
      </c>
      <c r="H72" s="67" t="s">
        <v>10</v>
      </c>
      <c r="I72" s="66" t="s">
        <v>10</v>
      </c>
      <c r="J72" s="67" t="s">
        <v>10</v>
      </c>
      <c r="K72" s="67" t="s">
        <v>10</v>
      </c>
      <c r="L72" s="64" t="s">
        <v>10</v>
      </c>
      <c r="M72" s="62">
        <v>0</v>
      </c>
      <c r="N72" s="62">
        <v>0</v>
      </c>
      <c r="O72" s="62">
        <v>0</v>
      </c>
      <c r="P72" s="62">
        <v>0</v>
      </c>
      <c r="Q72" s="62">
        <v>0</v>
      </c>
    </row>
    <row r="73" spans="1:18" ht="52.5" x14ac:dyDescent="0.2">
      <c r="A73" s="60" t="s">
        <v>432</v>
      </c>
      <c r="B73" s="69">
        <v>3400</v>
      </c>
      <c r="C73" s="66" t="s">
        <v>10</v>
      </c>
      <c r="D73" s="67" t="s">
        <v>10</v>
      </c>
      <c r="E73" s="67" t="s">
        <v>10</v>
      </c>
      <c r="F73" s="66" t="s">
        <v>10</v>
      </c>
      <c r="G73" s="67" t="s">
        <v>10</v>
      </c>
      <c r="H73" s="67" t="s">
        <v>10</v>
      </c>
      <c r="I73" s="66" t="s">
        <v>10</v>
      </c>
      <c r="J73" s="67" t="s">
        <v>10</v>
      </c>
      <c r="K73" s="67" t="s">
        <v>10</v>
      </c>
      <c r="L73" s="64" t="s">
        <v>10</v>
      </c>
      <c r="M73" s="62">
        <f t="shared" ref="M73:Q73" si="4">M74+M75</f>
        <v>272047.3</v>
      </c>
      <c r="N73" s="62">
        <f t="shared" si="4"/>
        <v>270214.19999999995</v>
      </c>
      <c r="O73" s="62">
        <f t="shared" si="4"/>
        <v>260739</v>
      </c>
      <c r="P73" s="62">
        <f t="shared" si="4"/>
        <v>256002.40000000002</v>
      </c>
      <c r="Q73" s="62">
        <f t="shared" si="4"/>
        <v>249047.7</v>
      </c>
    </row>
    <row r="74" spans="1:18" ht="408" x14ac:dyDescent="0.2">
      <c r="A74" s="86" t="s">
        <v>433</v>
      </c>
      <c r="B74" s="74">
        <v>3402</v>
      </c>
      <c r="C74" s="21" t="s">
        <v>489</v>
      </c>
      <c r="D74" s="21" t="s">
        <v>490</v>
      </c>
      <c r="E74" s="21" t="s">
        <v>593</v>
      </c>
      <c r="F74" s="47" t="s">
        <v>609</v>
      </c>
      <c r="G74" s="47" t="s">
        <v>610</v>
      </c>
      <c r="H74" s="119" t="s">
        <v>611</v>
      </c>
      <c r="I74" s="22" t="s">
        <v>652</v>
      </c>
      <c r="J74" s="38" t="s">
        <v>188</v>
      </c>
      <c r="K74" s="39" t="s">
        <v>653</v>
      </c>
      <c r="L74" s="118" t="s">
        <v>655</v>
      </c>
      <c r="M74" s="120">
        <f>АДМИНИСТРАЦИЯ!N81+'ОТДЕЛ ОБРАЗОВАНИЯ'!N38</f>
        <v>196529.4</v>
      </c>
      <c r="N74" s="120">
        <f>АДМИНИСТРАЦИЯ!AL81+'ОТДЕЛ ОБРАЗОВАНИЯ'!Z38</f>
        <v>194931</v>
      </c>
      <c r="O74" s="120">
        <f>АДМИНИСТРАЦИЯ!BJ81+'ОТДЕЛ ОБРАЗОВАНИЯ'!AL38+ФУ!T30</f>
        <v>190948.5</v>
      </c>
      <c r="P74" s="120">
        <f>АДМИНИСТРАЦИЯ!CG81+'ОТДЕЛ ОБРАЗОВАНИЯ'!AW38+ФУ!X30</f>
        <v>191576.80000000002</v>
      </c>
      <c r="Q74" s="120">
        <f>АДМИНИСТРАЦИЯ!DC81+'ОТДЕЛ ОБРАЗОВАНИЯ'!BH38+ФУ!AB30</f>
        <v>188084.2</v>
      </c>
    </row>
    <row r="75" spans="1:18" ht="408" x14ac:dyDescent="0.2">
      <c r="A75" s="86" t="s">
        <v>434</v>
      </c>
      <c r="B75" s="74">
        <v>3403</v>
      </c>
      <c r="C75" s="21" t="s">
        <v>489</v>
      </c>
      <c r="D75" s="21" t="s">
        <v>490</v>
      </c>
      <c r="E75" s="21" t="s">
        <v>593</v>
      </c>
      <c r="F75" s="47" t="s">
        <v>609</v>
      </c>
      <c r="G75" s="47" t="s">
        <v>610</v>
      </c>
      <c r="H75" s="119" t="s">
        <v>611</v>
      </c>
      <c r="I75" s="22" t="s">
        <v>607</v>
      </c>
      <c r="J75" s="38" t="s">
        <v>183</v>
      </c>
      <c r="K75" s="39" t="s">
        <v>608</v>
      </c>
      <c r="L75" s="118" t="s">
        <v>658</v>
      </c>
      <c r="M75" s="120">
        <f>АДМИНИСТРАЦИЯ!N82+'ОТДЕЛ ОБРАЗОВАНИЯ'!N39</f>
        <v>75517.899999999994</v>
      </c>
      <c r="N75" s="120">
        <f>АДМИНИСТРАЦИЯ!AL82+'ОТДЕЛ ОБРАЗОВАНИЯ'!Z39</f>
        <v>75283.199999999983</v>
      </c>
      <c r="O75" s="120">
        <f>АДМИНИСТРАЦИЯ!BJ82+'ОТДЕЛ ОБРАЗОВАНИЯ'!AL39+ФУ!T31</f>
        <v>69790.499999999985</v>
      </c>
      <c r="P75" s="120">
        <f>АДМИНИСТРАЦИЯ!CG82+'ОТДЕЛ ОБРАЗОВАНИЯ'!AW39+ФУ!X31</f>
        <v>64425.600000000006</v>
      </c>
      <c r="Q75" s="120">
        <f>АДМИНИСТРАЦИЯ!DC82+'ОТДЕЛ ОБРАЗОВАНИЯ'!BH39+ФУ!AB31</f>
        <v>60963.5</v>
      </c>
    </row>
    <row r="76" spans="1:18" ht="63" x14ac:dyDescent="0.2">
      <c r="A76" s="60" t="s">
        <v>435</v>
      </c>
      <c r="B76" s="122">
        <v>3500</v>
      </c>
      <c r="C76" s="66"/>
      <c r="D76" s="67"/>
      <c r="E76" s="67"/>
      <c r="F76" s="66"/>
      <c r="G76" s="67"/>
      <c r="H76" s="67"/>
      <c r="I76" s="66"/>
      <c r="J76" s="67"/>
      <c r="K76" s="67"/>
      <c r="L76" s="64"/>
      <c r="M76" s="112"/>
      <c r="N76" s="112"/>
      <c r="O76" s="112">
        <f>O77+O78</f>
        <v>0</v>
      </c>
      <c r="P76" s="112">
        <f>P77+P78</f>
        <v>0</v>
      </c>
      <c r="Q76" s="112">
        <f>Q77+Q78</f>
        <v>0</v>
      </c>
    </row>
    <row r="77" spans="1:18" ht="22.5" x14ac:dyDescent="0.2">
      <c r="A77" s="63" t="s">
        <v>436</v>
      </c>
      <c r="B77" s="69">
        <v>3501</v>
      </c>
      <c r="C77" s="66" t="s">
        <v>10</v>
      </c>
      <c r="D77" s="67" t="s">
        <v>10</v>
      </c>
      <c r="E77" s="67" t="s">
        <v>10</v>
      </c>
      <c r="F77" s="66" t="s">
        <v>10</v>
      </c>
      <c r="G77" s="67" t="s">
        <v>10</v>
      </c>
      <c r="H77" s="67" t="s">
        <v>10</v>
      </c>
      <c r="I77" s="66" t="s">
        <v>10</v>
      </c>
      <c r="J77" s="67" t="s">
        <v>10</v>
      </c>
      <c r="K77" s="67" t="s">
        <v>10</v>
      </c>
      <c r="L77" s="64" t="s">
        <v>10</v>
      </c>
      <c r="M77" s="113"/>
      <c r="N77" s="113"/>
      <c r="O77" s="113">
        <f>ФУ!T34</f>
        <v>0</v>
      </c>
      <c r="P77" s="113">
        <f>ФУ!X34</f>
        <v>0</v>
      </c>
      <c r="Q77" s="113">
        <f>ФУ!Y34</f>
        <v>0</v>
      </c>
    </row>
    <row r="78" spans="1:18" ht="22.5" x14ac:dyDescent="0.2">
      <c r="A78" s="63" t="s">
        <v>437</v>
      </c>
      <c r="B78" s="69">
        <v>3502</v>
      </c>
      <c r="C78" s="66" t="s">
        <v>10</v>
      </c>
      <c r="D78" s="67" t="s">
        <v>10</v>
      </c>
      <c r="E78" s="67" t="s">
        <v>10</v>
      </c>
      <c r="F78" s="66" t="s">
        <v>10</v>
      </c>
      <c r="G78" s="67" t="s">
        <v>10</v>
      </c>
      <c r="H78" s="67" t="s">
        <v>10</v>
      </c>
      <c r="I78" s="66" t="s">
        <v>10</v>
      </c>
      <c r="J78" s="67" t="s">
        <v>10</v>
      </c>
      <c r="K78" s="67" t="s">
        <v>10</v>
      </c>
      <c r="L78" s="64" t="s">
        <v>10</v>
      </c>
      <c r="M78" s="112"/>
      <c r="N78" s="112"/>
      <c r="O78" s="112"/>
      <c r="P78" s="112"/>
      <c r="Q78" s="112"/>
    </row>
    <row r="79" spans="1:18" ht="36" x14ac:dyDescent="0.2">
      <c r="A79" s="81" t="s">
        <v>438</v>
      </c>
      <c r="B79" s="80">
        <v>3600</v>
      </c>
      <c r="C79" s="66"/>
      <c r="D79" s="66"/>
      <c r="E79" s="66"/>
      <c r="F79" s="66"/>
      <c r="G79" s="67"/>
      <c r="H79" s="67"/>
      <c r="I79" s="66"/>
      <c r="J79" s="67"/>
      <c r="K79" s="71"/>
      <c r="L79" s="64"/>
      <c r="M79" s="70">
        <v>0</v>
      </c>
      <c r="N79" s="70">
        <v>0</v>
      </c>
      <c r="O79" s="70">
        <v>0</v>
      </c>
      <c r="P79" s="70">
        <v>9378.5</v>
      </c>
      <c r="Q79" s="70">
        <v>25630</v>
      </c>
    </row>
    <row r="80" spans="1:18" x14ac:dyDescent="0.2">
      <c r="A80" s="9" t="s">
        <v>0</v>
      </c>
      <c r="B80" s="14">
        <v>8000</v>
      </c>
      <c r="C80" s="19" t="s">
        <v>10</v>
      </c>
      <c r="D80" s="20" t="s">
        <v>10</v>
      </c>
      <c r="E80" s="20" t="s">
        <v>10</v>
      </c>
      <c r="F80" s="19" t="s">
        <v>10</v>
      </c>
      <c r="G80" s="20" t="s">
        <v>10</v>
      </c>
      <c r="H80" s="20" t="s">
        <v>10</v>
      </c>
      <c r="I80" s="19" t="s">
        <v>10</v>
      </c>
      <c r="J80" s="20" t="s">
        <v>10</v>
      </c>
      <c r="K80" s="20" t="s">
        <v>10</v>
      </c>
      <c r="L80" s="13" t="s">
        <v>10</v>
      </c>
      <c r="M80" s="84"/>
      <c r="N80" s="84"/>
      <c r="O80" s="84"/>
      <c r="P80" s="84"/>
      <c r="Q80" s="84"/>
    </row>
  </sheetData>
  <mergeCells count="13">
    <mergeCell ref="A1:P1"/>
    <mergeCell ref="A3:A5"/>
    <mergeCell ref="B3:B5"/>
    <mergeCell ref="L3:L4"/>
    <mergeCell ref="C4:E4"/>
    <mergeCell ref="F4:H4"/>
    <mergeCell ref="C3:I3"/>
    <mergeCell ref="I4:K4"/>
    <mergeCell ref="M4:N4"/>
    <mergeCell ref="O4:O5"/>
    <mergeCell ref="P4:Q4"/>
    <mergeCell ref="M3:Q3"/>
    <mergeCell ref="J2:Q2"/>
  </mergeCells>
  <pageMargins left="0.31496062992125984" right="0.31496062992125984" top="0.19685039370078741" bottom="0.19685039370078741" header="0.19685039370078741" footer="0"/>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X90"/>
  <sheetViews>
    <sheetView view="pageBreakPreview" zoomScale="80" zoomScaleNormal="90" zoomScaleSheetLayoutView="80" workbookViewId="0">
      <pane xSplit="13" ySplit="7" topLeftCell="N8" activePane="bottomRight" state="frozen"/>
      <selection pane="topRight" activeCell="N1" sqref="N1"/>
      <selection pane="bottomLeft" activeCell="A8" sqref="A8"/>
      <selection pane="bottomRight" activeCell="N8" sqref="N8"/>
    </sheetView>
  </sheetViews>
  <sheetFormatPr defaultColWidth="9.140625" defaultRowHeight="12.75" x14ac:dyDescent="0.2"/>
  <cols>
    <col min="1" max="1" width="45.140625" customWidth="1"/>
    <col min="2" max="2" width="6.42578125" customWidth="1"/>
    <col min="3" max="3" width="22.140625" hidden="1" customWidth="1"/>
    <col min="4" max="4" width="0" hidden="1" customWidth="1"/>
    <col min="5" max="5" width="11" hidden="1" customWidth="1"/>
    <col min="6" max="6" width="25.7109375" hidden="1" customWidth="1"/>
    <col min="7" max="8" width="0" hidden="1" customWidth="1"/>
    <col min="9" max="9" width="29.42578125" hidden="1" customWidth="1"/>
    <col min="10" max="10" width="0" hidden="1" customWidth="1"/>
    <col min="11" max="11" width="12" hidden="1" customWidth="1"/>
    <col min="12" max="12" width="7.140625" customWidth="1"/>
    <col min="13" max="13" width="8.7109375" bestFit="1" customWidth="1"/>
    <col min="14" max="14" width="12.5703125" style="142" customWidth="1"/>
    <col min="15" max="37" width="11.140625" style="142" hidden="1" customWidth="1"/>
    <col min="38" max="38" width="13" style="142" customWidth="1"/>
    <col min="39" max="61" width="13" style="142" hidden="1" customWidth="1"/>
    <col min="62" max="62" width="13" style="142" customWidth="1"/>
    <col min="63" max="84" width="11.5703125" style="142" hidden="1" customWidth="1"/>
    <col min="85" max="85" width="11.42578125" style="142" customWidth="1"/>
    <col min="86" max="106" width="11.42578125" style="142" hidden="1" customWidth="1"/>
    <col min="107" max="107" width="12" style="142" customWidth="1"/>
    <col min="108" max="128" width="12" hidden="1" customWidth="1"/>
    <col min="129" max="129" width="12" customWidth="1"/>
  </cols>
  <sheetData>
    <row r="1" spans="1:128" x14ac:dyDescent="0.2">
      <c r="A1" s="193" t="s">
        <v>232</v>
      </c>
      <c r="B1" s="193"/>
      <c r="C1" s="193"/>
      <c r="D1" s="193"/>
      <c r="E1" s="193"/>
      <c r="F1" s="193"/>
      <c r="G1" s="193"/>
      <c r="H1" s="193"/>
      <c r="I1" s="48"/>
      <c r="J1" s="48"/>
      <c r="K1" s="48"/>
      <c r="L1" s="48"/>
      <c r="M1" s="48"/>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205"/>
      <c r="BK1" s="205"/>
      <c r="BL1" s="205"/>
      <c r="BM1" s="205"/>
      <c r="BN1" s="205"/>
      <c r="BO1" s="205"/>
      <c r="BP1" s="205"/>
      <c r="BQ1" s="205"/>
      <c r="BR1" s="205"/>
      <c r="BS1" s="205"/>
      <c r="BT1" s="205"/>
      <c r="BU1" s="205"/>
      <c r="BV1" s="205"/>
      <c r="BW1" s="205"/>
      <c r="BX1" s="205"/>
      <c r="BY1" s="205"/>
      <c r="BZ1" s="205"/>
      <c r="CA1" s="205"/>
      <c r="CB1" s="205"/>
      <c r="CC1" s="205"/>
      <c r="CD1" s="205"/>
      <c r="CE1" s="205"/>
      <c r="CF1" s="185"/>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5"/>
      <c r="DE1" s="15"/>
      <c r="DF1" s="15"/>
      <c r="DG1" s="15"/>
      <c r="DH1" s="15"/>
      <c r="DI1" s="15"/>
      <c r="DJ1" s="15"/>
      <c r="DK1" s="15"/>
      <c r="DL1" s="15"/>
      <c r="DM1" s="15"/>
      <c r="DN1" s="15"/>
      <c r="DO1" s="15"/>
      <c r="DP1" s="15"/>
      <c r="DQ1" s="15"/>
      <c r="DR1" s="15"/>
      <c r="DS1" s="15"/>
      <c r="DT1" s="189"/>
      <c r="DU1" s="15"/>
      <c r="DV1" s="15"/>
      <c r="DW1" s="15"/>
      <c r="DX1" s="15"/>
    </row>
    <row r="2" spans="1:128" x14ac:dyDescent="0.2">
      <c r="A2" s="217" t="s">
        <v>594</v>
      </c>
      <c r="B2" s="217"/>
      <c r="C2" s="217"/>
      <c r="D2" s="217"/>
      <c r="E2" s="217"/>
      <c r="F2" s="217"/>
      <c r="G2" s="217"/>
      <c r="H2" s="217"/>
      <c r="I2" s="48"/>
      <c r="J2" s="48"/>
      <c r="K2" s="48"/>
      <c r="L2" s="48"/>
      <c r="M2" s="48"/>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205"/>
      <c r="BK2" s="205"/>
      <c r="BL2" s="205"/>
      <c r="BM2" s="205"/>
      <c r="BN2" s="205"/>
      <c r="BO2" s="205"/>
      <c r="BP2" s="205"/>
      <c r="BQ2" s="205"/>
      <c r="BR2" s="205"/>
      <c r="BS2" s="205"/>
      <c r="BT2" s="205"/>
      <c r="BU2" s="205"/>
      <c r="BV2" s="205"/>
      <c r="BW2" s="205"/>
      <c r="BX2" s="205"/>
      <c r="BY2" s="205"/>
      <c r="BZ2" s="205"/>
      <c r="CA2" s="205"/>
      <c r="CB2" s="205"/>
      <c r="CC2" s="205"/>
      <c r="CD2" s="205"/>
      <c r="CE2" s="205"/>
      <c r="CF2" s="185"/>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5"/>
      <c r="DE2" s="15"/>
      <c r="DF2" s="15"/>
      <c r="DG2" s="15"/>
      <c r="DH2" s="15"/>
      <c r="DI2" s="15"/>
      <c r="DJ2" s="15"/>
      <c r="DK2" s="15"/>
      <c r="DL2" s="15"/>
      <c r="DM2" s="15"/>
      <c r="DN2" s="15"/>
      <c r="DO2" s="15"/>
      <c r="DP2" s="15"/>
      <c r="DQ2" s="15"/>
      <c r="DR2" s="15"/>
      <c r="DS2" s="15"/>
      <c r="DT2" s="189"/>
      <c r="DU2" s="15"/>
      <c r="DV2" s="15"/>
      <c r="DW2" s="15"/>
      <c r="DX2" s="15"/>
    </row>
    <row r="3" spans="1:128" x14ac:dyDescent="0.2">
      <c r="A3" s="218" t="s">
        <v>233</v>
      </c>
      <c r="B3" s="218"/>
      <c r="C3" s="218"/>
      <c r="D3" s="218"/>
      <c r="E3" s="218"/>
      <c r="F3" s="218"/>
      <c r="G3" s="218"/>
      <c r="H3" s="218"/>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c r="CG3" s="206"/>
      <c r="CH3" s="206"/>
      <c r="CI3" s="206"/>
      <c r="CJ3" s="206"/>
      <c r="CK3" s="206"/>
      <c r="CL3" s="206"/>
      <c r="CM3" s="206"/>
      <c r="CN3" s="206"/>
      <c r="CO3" s="206"/>
      <c r="CP3" s="206"/>
      <c r="CQ3" s="206"/>
      <c r="CR3" s="206"/>
      <c r="CS3" s="206"/>
      <c r="CT3" s="206"/>
      <c r="CU3" s="206"/>
      <c r="CV3" s="206"/>
      <c r="CW3" s="206"/>
      <c r="CX3" s="206"/>
      <c r="CY3" s="206"/>
      <c r="CZ3" s="206"/>
      <c r="DA3" s="206"/>
      <c r="DB3" s="206"/>
      <c r="DC3" s="206"/>
      <c r="DD3" s="107"/>
      <c r="DE3" s="107"/>
      <c r="DF3" s="107"/>
      <c r="DG3" s="107"/>
      <c r="DH3" s="107"/>
      <c r="DI3" s="107"/>
      <c r="DJ3" s="107"/>
      <c r="DK3" s="107"/>
      <c r="DL3" s="107"/>
      <c r="DM3" s="107"/>
      <c r="DN3" s="107"/>
      <c r="DO3" s="107"/>
      <c r="DP3" s="107"/>
      <c r="DQ3" s="107"/>
      <c r="DR3" s="107"/>
      <c r="DS3" s="107"/>
      <c r="DT3" s="107"/>
      <c r="DU3" s="107"/>
      <c r="DV3" s="107"/>
      <c r="DW3" s="107"/>
      <c r="DX3" s="107"/>
    </row>
    <row r="4" spans="1:128" ht="22.5" customHeight="1" x14ac:dyDescent="0.2">
      <c r="A4" s="194" t="s">
        <v>13</v>
      </c>
      <c r="B4" s="195" t="s">
        <v>9</v>
      </c>
      <c r="C4" s="197" t="s">
        <v>12</v>
      </c>
      <c r="D4" s="198"/>
      <c r="E4" s="198"/>
      <c r="F4" s="198"/>
      <c r="G4" s="198"/>
      <c r="H4" s="198"/>
      <c r="I4" s="199"/>
      <c r="J4" s="2"/>
      <c r="K4" s="2"/>
      <c r="L4" s="194" t="s">
        <v>2</v>
      </c>
      <c r="M4" s="194"/>
      <c r="N4" s="213"/>
      <c r="O4" s="214"/>
      <c r="P4" s="213"/>
      <c r="Q4" s="214"/>
      <c r="R4" s="213"/>
      <c r="S4" s="214"/>
      <c r="T4" s="213"/>
      <c r="U4" s="214"/>
      <c r="V4" s="213"/>
      <c r="W4" s="214"/>
      <c r="X4" s="213"/>
      <c r="Y4" s="214"/>
      <c r="Z4" s="213"/>
      <c r="AA4" s="214"/>
      <c r="AB4" s="213"/>
      <c r="AC4" s="214"/>
      <c r="AD4" s="213"/>
      <c r="AE4" s="214"/>
      <c r="AF4" s="186"/>
      <c r="AG4" s="187"/>
      <c r="AH4" s="213"/>
      <c r="AI4" s="214"/>
      <c r="AJ4" s="213"/>
      <c r="AK4" s="215"/>
      <c r="AL4" s="214"/>
      <c r="AM4" s="163"/>
      <c r="AN4" s="163"/>
      <c r="AO4" s="163"/>
      <c r="AP4" s="163"/>
      <c r="AQ4" s="163"/>
      <c r="AR4" s="163"/>
      <c r="AS4" s="163"/>
      <c r="AT4" s="163"/>
      <c r="AU4" s="163"/>
      <c r="AV4" s="163"/>
      <c r="AW4" s="163"/>
      <c r="AX4" s="163"/>
      <c r="AY4" s="163"/>
      <c r="AZ4" s="163"/>
      <c r="BA4" s="163"/>
      <c r="BB4" s="163"/>
      <c r="BC4" s="163"/>
      <c r="BD4" s="163"/>
      <c r="BE4" s="163"/>
      <c r="BF4" s="163"/>
      <c r="BG4" s="163"/>
      <c r="BH4" s="188"/>
      <c r="BI4" s="163"/>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18"/>
      <c r="DE4" s="18"/>
      <c r="DF4" s="18"/>
      <c r="DG4" s="18"/>
      <c r="DH4" s="18"/>
      <c r="DI4" s="18"/>
      <c r="DJ4" s="18"/>
      <c r="DK4" s="18"/>
      <c r="DL4" s="18"/>
      <c r="DM4" s="18"/>
      <c r="DN4" s="18"/>
      <c r="DO4" s="18"/>
      <c r="DP4" s="18"/>
      <c r="DQ4" s="18"/>
      <c r="DR4" s="18"/>
      <c r="DS4" s="18"/>
      <c r="DT4" s="18"/>
      <c r="DU4" s="18"/>
      <c r="DV4" s="18"/>
      <c r="DW4" s="18"/>
      <c r="DX4" s="18"/>
    </row>
    <row r="5" spans="1:128" ht="25.5" customHeight="1" x14ac:dyDescent="0.2">
      <c r="A5" s="194"/>
      <c r="B5" s="195"/>
      <c r="C5" s="196" t="s">
        <v>8</v>
      </c>
      <c r="D5" s="196"/>
      <c r="E5" s="196"/>
      <c r="F5" s="196" t="s">
        <v>5</v>
      </c>
      <c r="G5" s="196"/>
      <c r="H5" s="196"/>
      <c r="I5" s="196" t="s">
        <v>179</v>
      </c>
      <c r="J5" s="196"/>
      <c r="K5" s="196"/>
      <c r="L5" s="194"/>
      <c r="M5" s="194"/>
      <c r="N5" s="213" t="s">
        <v>787</v>
      </c>
      <c r="O5" s="215"/>
      <c r="P5" s="215"/>
      <c r="Q5" s="215"/>
      <c r="R5" s="215"/>
      <c r="S5" s="215"/>
      <c r="T5" s="215"/>
      <c r="U5" s="215"/>
      <c r="V5" s="215"/>
      <c r="W5" s="215"/>
      <c r="X5" s="215"/>
      <c r="Y5" s="215"/>
      <c r="Z5" s="215"/>
      <c r="AA5" s="215"/>
      <c r="AB5" s="215"/>
      <c r="AC5" s="215"/>
      <c r="AD5" s="215"/>
      <c r="AE5" s="215"/>
      <c r="AF5" s="215"/>
      <c r="AG5" s="215"/>
      <c r="AH5" s="215"/>
      <c r="AI5" s="215"/>
      <c r="AJ5" s="215"/>
      <c r="AK5" s="215"/>
      <c r="AL5" s="21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207" t="s">
        <v>788</v>
      </c>
      <c r="BK5" s="164"/>
      <c r="BL5" s="164"/>
      <c r="BM5" s="164"/>
      <c r="BN5" s="164"/>
      <c r="BO5" s="164"/>
      <c r="BP5" s="164"/>
      <c r="BQ5" s="164"/>
      <c r="BR5" s="164"/>
      <c r="BS5" s="164"/>
      <c r="BT5" s="164"/>
      <c r="BU5" s="164"/>
      <c r="BV5" s="164"/>
      <c r="BW5" s="164"/>
      <c r="BX5" s="164"/>
      <c r="BY5" s="164"/>
      <c r="BZ5" s="164"/>
      <c r="CA5" s="164"/>
      <c r="CB5" s="164"/>
      <c r="CC5" s="164"/>
      <c r="CD5" s="164"/>
      <c r="CE5" s="164"/>
      <c r="CF5" s="164"/>
      <c r="CG5" s="210" t="s">
        <v>311</v>
      </c>
      <c r="CH5" s="211"/>
      <c r="CI5" s="211"/>
      <c r="CJ5" s="211"/>
      <c r="CK5" s="211"/>
      <c r="CL5" s="211"/>
      <c r="CM5" s="211"/>
      <c r="CN5" s="211"/>
      <c r="CO5" s="211"/>
      <c r="CP5" s="211"/>
      <c r="CQ5" s="211"/>
      <c r="CR5" s="211"/>
      <c r="CS5" s="211"/>
      <c r="CT5" s="211"/>
      <c r="CU5" s="211"/>
      <c r="CV5" s="211"/>
      <c r="CW5" s="211"/>
      <c r="CX5" s="211"/>
      <c r="CY5" s="211"/>
      <c r="CZ5" s="211"/>
      <c r="DA5" s="211"/>
      <c r="DB5" s="211"/>
      <c r="DC5" s="212"/>
      <c r="DD5" s="140"/>
      <c r="DE5" s="140"/>
      <c r="DF5" s="140"/>
      <c r="DG5" s="140"/>
      <c r="DH5" s="140"/>
      <c r="DI5" s="140"/>
      <c r="DJ5" s="140"/>
      <c r="DK5" s="140"/>
      <c r="DL5" s="140"/>
      <c r="DM5" s="140"/>
      <c r="DN5" s="140"/>
      <c r="DO5" s="140"/>
      <c r="DP5" s="140"/>
      <c r="DQ5" s="140"/>
      <c r="DR5" s="140"/>
      <c r="DS5" s="140"/>
      <c r="DT5" s="140"/>
      <c r="DU5" s="140"/>
      <c r="DV5" s="140"/>
      <c r="DW5" s="140"/>
      <c r="DX5" s="140"/>
    </row>
    <row r="6" spans="1:128" ht="63.75" customHeight="1" x14ac:dyDescent="0.2">
      <c r="A6" s="194"/>
      <c r="B6" s="195"/>
      <c r="C6" s="4" t="s">
        <v>14</v>
      </c>
      <c r="D6" s="4" t="s">
        <v>6</v>
      </c>
      <c r="E6" s="4" t="s">
        <v>7</v>
      </c>
      <c r="F6" s="4" t="s">
        <v>14</v>
      </c>
      <c r="G6" s="4" t="s">
        <v>6</v>
      </c>
      <c r="H6" s="4" t="s">
        <v>7</v>
      </c>
      <c r="I6" s="4" t="s">
        <v>14</v>
      </c>
      <c r="J6" s="4" t="s">
        <v>6</v>
      </c>
      <c r="K6" s="4" t="s">
        <v>7</v>
      </c>
      <c r="L6" s="5" t="s">
        <v>3</v>
      </c>
      <c r="M6" s="5" t="s">
        <v>4</v>
      </c>
      <c r="N6" s="165" t="s">
        <v>309</v>
      </c>
      <c r="O6" s="151" t="s">
        <v>18</v>
      </c>
      <c r="P6" s="151" t="s">
        <v>23</v>
      </c>
      <c r="Q6" s="151" t="s">
        <v>180</v>
      </c>
      <c r="R6" s="151" t="s">
        <v>28</v>
      </c>
      <c r="S6" s="151" t="s">
        <v>463</v>
      </c>
      <c r="T6" s="151" t="s">
        <v>32</v>
      </c>
      <c r="U6" s="151" t="s">
        <v>504</v>
      </c>
      <c r="V6" s="151" t="s">
        <v>34</v>
      </c>
      <c r="W6" s="151" t="s">
        <v>36</v>
      </c>
      <c r="X6" s="151" t="s">
        <v>38</v>
      </c>
      <c r="Y6" s="151" t="s">
        <v>40</v>
      </c>
      <c r="Z6" s="151" t="s">
        <v>41</v>
      </c>
      <c r="AA6" s="151" t="s">
        <v>506</v>
      </c>
      <c r="AB6" s="151" t="s">
        <v>42</v>
      </c>
      <c r="AC6" s="151" t="s">
        <v>507</v>
      </c>
      <c r="AD6" s="151" t="s">
        <v>508</v>
      </c>
      <c r="AE6" s="151" t="s">
        <v>45</v>
      </c>
      <c r="AF6" s="151" t="s">
        <v>793</v>
      </c>
      <c r="AG6" s="151" t="s">
        <v>11</v>
      </c>
      <c r="AH6" s="151" t="s">
        <v>51</v>
      </c>
      <c r="AI6" s="151" t="s">
        <v>52</v>
      </c>
      <c r="AJ6" s="151" t="s">
        <v>250</v>
      </c>
      <c r="AK6" s="151" t="s">
        <v>53</v>
      </c>
      <c r="AL6" s="165" t="s">
        <v>310</v>
      </c>
      <c r="AM6" s="166" t="s">
        <v>18</v>
      </c>
      <c r="AN6" s="166" t="s">
        <v>23</v>
      </c>
      <c r="AO6" s="166" t="s">
        <v>180</v>
      </c>
      <c r="AP6" s="166" t="s">
        <v>28</v>
      </c>
      <c r="AQ6" s="166" t="s">
        <v>463</v>
      </c>
      <c r="AR6" s="166" t="s">
        <v>32</v>
      </c>
      <c r="AS6" s="166" t="s">
        <v>504</v>
      </c>
      <c r="AT6" s="166" t="s">
        <v>34</v>
      </c>
      <c r="AU6" s="166" t="s">
        <v>36</v>
      </c>
      <c r="AV6" s="166" t="s">
        <v>38</v>
      </c>
      <c r="AW6" s="166" t="s">
        <v>40</v>
      </c>
      <c r="AX6" s="166" t="s">
        <v>41</v>
      </c>
      <c r="AY6" s="166" t="s">
        <v>506</v>
      </c>
      <c r="AZ6" s="166" t="s">
        <v>42</v>
      </c>
      <c r="BA6" s="166" t="s">
        <v>507</v>
      </c>
      <c r="BB6" s="166" t="s">
        <v>508</v>
      </c>
      <c r="BC6" s="166" t="s">
        <v>45</v>
      </c>
      <c r="BD6" s="166" t="s">
        <v>793</v>
      </c>
      <c r="BE6" s="166" t="s">
        <v>11</v>
      </c>
      <c r="BF6" s="166" t="s">
        <v>51</v>
      </c>
      <c r="BG6" s="166" t="s">
        <v>52</v>
      </c>
      <c r="BH6" s="166" t="s">
        <v>250</v>
      </c>
      <c r="BI6" s="166" t="s">
        <v>53</v>
      </c>
      <c r="BJ6" s="208"/>
      <c r="BK6" s="166" t="s">
        <v>18</v>
      </c>
      <c r="BL6" s="166" t="s">
        <v>23</v>
      </c>
      <c r="BM6" s="166" t="s">
        <v>180</v>
      </c>
      <c r="BN6" s="166" t="s">
        <v>28</v>
      </c>
      <c r="BO6" s="166" t="s">
        <v>463</v>
      </c>
      <c r="BP6" s="166" t="s">
        <v>32</v>
      </c>
      <c r="BQ6" s="166" t="s">
        <v>504</v>
      </c>
      <c r="BR6" s="166" t="s">
        <v>34</v>
      </c>
      <c r="BS6" s="166" t="s">
        <v>36</v>
      </c>
      <c r="BT6" s="166" t="s">
        <v>38</v>
      </c>
      <c r="BU6" s="166" t="s">
        <v>40</v>
      </c>
      <c r="BV6" s="166" t="s">
        <v>41</v>
      </c>
      <c r="BW6" s="166" t="s">
        <v>506</v>
      </c>
      <c r="BX6" s="166" t="s">
        <v>42</v>
      </c>
      <c r="BY6" s="166" t="s">
        <v>507</v>
      </c>
      <c r="BZ6" s="166" t="s">
        <v>508</v>
      </c>
      <c r="CA6" s="166" t="s">
        <v>45</v>
      </c>
      <c r="CB6" s="166" t="s">
        <v>11</v>
      </c>
      <c r="CC6" s="166" t="s">
        <v>51</v>
      </c>
      <c r="CD6" s="166" t="s">
        <v>52</v>
      </c>
      <c r="CE6" s="166" t="s">
        <v>250</v>
      </c>
      <c r="CF6" s="166" t="s">
        <v>53</v>
      </c>
      <c r="CG6" s="163" t="s">
        <v>791</v>
      </c>
      <c r="CH6" s="166" t="s">
        <v>18</v>
      </c>
      <c r="CI6" s="166" t="s">
        <v>23</v>
      </c>
      <c r="CJ6" s="166" t="s">
        <v>180</v>
      </c>
      <c r="CK6" s="166" t="s">
        <v>28</v>
      </c>
      <c r="CL6" s="166" t="s">
        <v>463</v>
      </c>
      <c r="CM6" s="166" t="s">
        <v>32</v>
      </c>
      <c r="CN6" s="166" t="s">
        <v>504</v>
      </c>
      <c r="CO6" s="166" t="s">
        <v>34</v>
      </c>
      <c r="CP6" s="166" t="s">
        <v>36</v>
      </c>
      <c r="CQ6" s="166" t="s">
        <v>38</v>
      </c>
      <c r="CR6" s="166" t="s">
        <v>40</v>
      </c>
      <c r="CS6" s="166" t="s">
        <v>41</v>
      </c>
      <c r="CT6" s="166" t="s">
        <v>506</v>
      </c>
      <c r="CU6" s="166" t="s">
        <v>42</v>
      </c>
      <c r="CV6" s="166" t="s">
        <v>507</v>
      </c>
      <c r="CW6" s="166" t="s">
        <v>508</v>
      </c>
      <c r="CX6" s="166" t="s">
        <v>45</v>
      </c>
      <c r="CY6" s="166" t="s">
        <v>11</v>
      </c>
      <c r="CZ6" s="166" t="s">
        <v>51</v>
      </c>
      <c r="DA6" s="166" t="s">
        <v>52</v>
      </c>
      <c r="DB6" s="166" t="s">
        <v>250</v>
      </c>
      <c r="DC6" s="163" t="s">
        <v>790</v>
      </c>
      <c r="DD6" s="16" t="s">
        <v>18</v>
      </c>
      <c r="DE6" s="16" t="s">
        <v>23</v>
      </c>
      <c r="DF6" s="16" t="s">
        <v>180</v>
      </c>
      <c r="DG6" s="16" t="s">
        <v>28</v>
      </c>
      <c r="DH6" s="16" t="s">
        <v>463</v>
      </c>
      <c r="DI6" s="16" t="s">
        <v>32</v>
      </c>
      <c r="DJ6" s="16" t="s">
        <v>504</v>
      </c>
      <c r="DK6" s="16" t="s">
        <v>34</v>
      </c>
      <c r="DL6" s="16" t="s">
        <v>36</v>
      </c>
      <c r="DM6" s="16" t="s">
        <v>38</v>
      </c>
      <c r="DN6" s="16" t="s">
        <v>40</v>
      </c>
      <c r="DO6" s="16" t="s">
        <v>41</v>
      </c>
      <c r="DP6" s="16" t="s">
        <v>506</v>
      </c>
      <c r="DQ6" s="16" t="s">
        <v>42</v>
      </c>
      <c r="DR6" s="16" t="s">
        <v>507</v>
      </c>
      <c r="DS6" s="16" t="s">
        <v>508</v>
      </c>
      <c r="DT6" s="16" t="s">
        <v>45</v>
      </c>
      <c r="DU6" s="16" t="s">
        <v>11</v>
      </c>
      <c r="DV6" s="16" t="s">
        <v>51</v>
      </c>
      <c r="DW6" s="16" t="s">
        <v>52</v>
      </c>
      <c r="DX6" s="16" t="s">
        <v>250</v>
      </c>
    </row>
    <row r="7" spans="1:128" s="1" customFormat="1" x14ac:dyDescent="0.2">
      <c r="A7" s="3">
        <v>1</v>
      </c>
      <c r="B7" s="3">
        <v>2</v>
      </c>
      <c r="C7" s="3">
        <v>3</v>
      </c>
      <c r="D7" s="3">
        <v>4</v>
      </c>
      <c r="E7" s="3">
        <v>5</v>
      </c>
      <c r="F7" s="3">
        <v>6</v>
      </c>
      <c r="G7" s="3">
        <v>7</v>
      </c>
      <c r="H7" s="3">
        <v>8</v>
      </c>
      <c r="I7" s="3">
        <v>9</v>
      </c>
      <c r="J7" s="3">
        <v>10</v>
      </c>
      <c r="K7" s="3">
        <v>11</v>
      </c>
      <c r="L7" s="3">
        <v>12</v>
      </c>
      <c r="M7" s="3">
        <v>13</v>
      </c>
      <c r="N7" s="167">
        <v>17</v>
      </c>
      <c r="O7" s="167"/>
      <c r="P7" s="167"/>
      <c r="Q7" s="167"/>
      <c r="R7" s="167"/>
      <c r="S7" s="167"/>
      <c r="T7" s="167"/>
      <c r="U7" s="167"/>
      <c r="V7" s="167"/>
      <c r="W7" s="167"/>
      <c r="X7" s="167"/>
      <c r="Y7" s="167"/>
      <c r="Z7" s="167"/>
      <c r="AA7" s="167"/>
      <c r="AB7" s="167"/>
      <c r="AC7" s="167"/>
      <c r="AD7" s="167"/>
      <c r="AE7" s="167"/>
      <c r="AF7" s="167"/>
      <c r="AG7" s="167"/>
      <c r="AH7" s="167"/>
      <c r="AI7" s="167"/>
      <c r="AJ7" s="167"/>
      <c r="AK7" s="167"/>
      <c r="AL7" s="167">
        <v>17</v>
      </c>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v>17</v>
      </c>
      <c r="BK7" s="167"/>
      <c r="BL7" s="167"/>
      <c r="BM7" s="167"/>
      <c r="BN7" s="167"/>
      <c r="BO7" s="167"/>
      <c r="BP7" s="167"/>
      <c r="BQ7" s="167"/>
      <c r="BR7" s="167"/>
      <c r="BS7" s="167"/>
      <c r="BT7" s="167"/>
      <c r="BU7" s="167"/>
      <c r="BV7" s="167"/>
      <c r="BW7" s="167"/>
      <c r="BX7" s="167"/>
      <c r="BY7" s="167"/>
      <c r="BZ7" s="167"/>
      <c r="CA7" s="167"/>
      <c r="CB7" s="167"/>
      <c r="CC7" s="167"/>
      <c r="CD7" s="167"/>
      <c r="CE7" s="167"/>
      <c r="CF7" s="167"/>
      <c r="CG7" s="167">
        <v>18</v>
      </c>
      <c r="CH7" s="167"/>
      <c r="CI7" s="167"/>
      <c r="CJ7" s="167"/>
      <c r="CK7" s="167"/>
      <c r="CL7" s="167"/>
      <c r="CM7" s="167"/>
      <c r="CN7" s="167"/>
      <c r="CO7" s="167"/>
      <c r="CP7" s="167"/>
      <c r="CQ7" s="167"/>
      <c r="CR7" s="167"/>
      <c r="CS7" s="167"/>
      <c r="CT7" s="167"/>
      <c r="CU7" s="167"/>
      <c r="CV7" s="167"/>
      <c r="CW7" s="167"/>
      <c r="CX7" s="167"/>
      <c r="CY7" s="167"/>
      <c r="CZ7" s="167"/>
      <c r="DA7" s="167"/>
      <c r="DB7" s="167"/>
      <c r="DC7" s="167">
        <v>19</v>
      </c>
      <c r="DD7" s="3"/>
      <c r="DE7" s="3"/>
      <c r="DF7" s="3"/>
      <c r="DG7" s="3"/>
      <c r="DH7" s="3"/>
      <c r="DI7" s="3"/>
      <c r="DJ7" s="3"/>
      <c r="DK7" s="3"/>
      <c r="DL7" s="3"/>
      <c r="DM7" s="3"/>
      <c r="DN7" s="3"/>
      <c r="DO7" s="3"/>
      <c r="DP7" s="3"/>
      <c r="DQ7" s="3"/>
      <c r="DR7" s="3"/>
      <c r="DS7" s="3"/>
      <c r="DT7" s="190"/>
      <c r="DU7" s="3"/>
      <c r="DV7" s="3"/>
      <c r="DW7" s="3"/>
      <c r="DX7" s="3"/>
    </row>
    <row r="8" spans="1:128" ht="42" x14ac:dyDescent="0.2">
      <c r="A8" s="60" t="s">
        <v>316</v>
      </c>
      <c r="B8" s="61" t="s">
        <v>315</v>
      </c>
      <c r="C8" s="60" t="s">
        <v>10</v>
      </c>
      <c r="D8" s="61" t="s">
        <v>10</v>
      </c>
      <c r="E8" s="61" t="s">
        <v>10</v>
      </c>
      <c r="F8" s="60" t="s">
        <v>10</v>
      </c>
      <c r="G8" s="61" t="s">
        <v>10</v>
      </c>
      <c r="H8" s="61" t="s">
        <v>10</v>
      </c>
      <c r="I8" s="60" t="s">
        <v>10</v>
      </c>
      <c r="J8" s="61" t="s">
        <v>10</v>
      </c>
      <c r="K8" s="61" t="s">
        <v>10</v>
      </c>
      <c r="L8" s="61" t="s">
        <v>10</v>
      </c>
      <c r="M8" s="61" t="s">
        <v>10</v>
      </c>
      <c r="N8" s="78">
        <f>SUM(N9+N41+N54+N60+N80+N83)</f>
        <v>386805.49999999994</v>
      </c>
      <c r="O8" s="78">
        <f t="shared" ref="O8:AA8" si="0">O9+O41+O54+O60+O80</f>
        <v>2429.9</v>
      </c>
      <c r="P8" s="78">
        <f t="shared" si="0"/>
        <v>40698</v>
      </c>
      <c r="Q8" s="78">
        <f t="shared" si="0"/>
        <v>36.299999999999997</v>
      </c>
      <c r="R8" s="78">
        <f t="shared" si="0"/>
        <v>55985.4</v>
      </c>
      <c r="S8" s="78">
        <f t="shared" si="0"/>
        <v>1006.5</v>
      </c>
      <c r="T8" s="78">
        <f t="shared" si="0"/>
        <v>14960.5</v>
      </c>
      <c r="U8" s="78">
        <f t="shared" si="0"/>
        <v>3922.7</v>
      </c>
      <c r="V8" s="78">
        <f t="shared" si="0"/>
        <v>950.59999999999991</v>
      </c>
      <c r="W8" s="78">
        <f t="shared" si="0"/>
        <v>729.7</v>
      </c>
      <c r="X8" s="78">
        <f t="shared" si="0"/>
        <v>3173.9</v>
      </c>
      <c r="Y8" s="78">
        <f t="shared" si="0"/>
        <v>93504.2</v>
      </c>
      <c r="Z8" s="78">
        <f t="shared" si="0"/>
        <v>7656.1999999999989</v>
      </c>
      <c r="AA8" s="78">
        <f t="shared" si="0"/>
        <v>3063.3</v>
      </c>
      <c r="AB8" s="78">
        <f t="shared" ref="AB8:AJ8" si="1">AB9+AB41+AB54+AB60+AB80</f>
        <v>9621.1999999999989</v>
      </c>
      <c r="AC8" s="78">
        <f t="shared" si="1"/>
        <v>23838.3</v>
      </c>
      <c r="AD8" s="78">
        <f t="shared" si="1"/>
        <v>19181</v>
      </c>
      <c r="AE8" s="78">
        <f t="shared" si="1"/>
        <v>64341.9</v>
      </c>
      <c r="AF8" s="78">
        <f t="shared" si="1"/>
        <v>2055.1</v>
      </c>
      <c r="AG8" s="78">
        <f t="shared" si="1"/>
        <v>6055.1</v>
      </c>
      <c r="AH8" s="78">
        <f t="shared" si="1"/>
        <v>3060.1000000000004</v>
      </c>
      <c r="AI8" s="78">
        <f t="shared" si="1"/>
        <v>30439.699999999997</v>
      </c>
      <c r="AJ8" s="78">
        <f t="shared" si="1"/>
        <v>95.9</v>
      </c>
      <c r="AK8" s="78">
        <f t="shared" ref="AK8" si="2">AK9+AK41+AK54+AK60+AK80</f>
        <v>0</v>
      </c>
      <c r="AL8" s="78">
        <f>SUM(AL9+AL41+AL54+AL60+AL80+AL83)</f>
        <v>320165.05999999994</v>
      </c>
      <c r="AM8" s="78">
        <f t="shared" ref="AM8:BI8" si="3">AM9+AM41+AM54+AM60+AM80</f>
        <v>2429.9</v>
      </c>
      <c r="AN8" s="78">
        <f t="shared" si="3"/>
        <v>40478.46</v>
      </c>
      <c r="AO8" s="78">
        <f t="shared" si="3"/>
        <v>36.299999999999997</v>
      </c>
      <c r="AP8" s="78">
        <f t="shared" si="3"/>
        <v>55800.099999999991</v>
      </c>
      <c r="AQ8" s="78">
        <f t="shared" si="3"/>
        <v>1006.5</v>
      </c>
      <c r="AR8" s="78">
        <f t="shared" si="3"/>
        <v>14936.2</v>
      </c>
      <c r="AS8" s="78">
        <f t="shared" si="3"/>
        <v>3922.2</v>
      </c>
      <c r="AT8" s="78">
        <f t="shared" si="3"/>
        <v>825.59999999999991</v>
      </c>
      <c r="AU8" s="78">
        <f t="shared" si="3"/>
        <v>598.9</v>
      </c>
      <c r="AV8" s="78">
        <f t="shared" si="3"/>
        <v>3168.3</v>
      </c>
      <c r="AW8" s="78">
        <f t="shared" si="3"/>
        <v>89600.5</v>
      </c>
      <c r="AX8" s="78">
        <f t="shared" si="3"/>
        <v>7371.4</v>
      </c>
      <c r="AY8" s="78">
        <f t="shared" si="3"/>
        <v>2059.1999999999998</v>
      </c>
      <c r="AZ8" s="78">
        <f t="shared" si="3"/>
        <v>7587.9000000000005</v>
      </c>
      <c r="BA8" s="78">
        <f t="shared" si="3"/>
        <v>23809.100000000002</v>
      </c>
      <c r="BB8" s="78">
        <f t="shared" si="3"/>
        <v>19176.8</v>
      </c>
      <c r="BC8" s="78">
        <f t="shared" si="3"/>
        <v>16545.5</v>
      </c>
      <c r="BD8" s="78">
        <f t="shared" si="3"/>
        <v>1778</v>
      </c>
      <c r="BE8" s="78">
        <f t="shared" si="3"/>
        <v>6055.1</v>
      </c>
      <c r="BF8" s="78">
        <f t="shared" si="3"/>
        <v>3036.5</v>
      </c>
      <c r="BG8" s="78">
        <f t="shared" si="3"/>
        <v>19870.400000000001</v>
      </c>
      <c r="BH8" s="78">
        <f t="shared" ref="BH8" si="4">BH9+BH41+BH54+BH60+BH80</f>
        <v>72.2</v>
      </c>
      <c r="BI8" s="78">
        <f t="shared" si="3"/>
        <v>0</v>
      </c>
      <c r="BJ8" s="78">
        <f>SUM(BK8:CF8)</f>
        <v>319145.97999999992</v>
      </c>
      <c r="BK8" s="78">
        <f t="shared" ref="BK8:CE8" si="5">BK9+BK41+BK54+BK60+BK80</f>
        <v>2036.9</v>
      </c>
      <c r="BL8" s="78">
        <f t="shared" si="5"/>
        <v>43853.4</v>
      </c>
      <c r="BM8" s="78">
        <f t="shared" si="5"/>
        <v>0.9</v>
      </c>
      <c r="BN8" s="78">
        <f t="shared" si="5"/>
        <v>33280.68</v>
      </c>
      <c r="BO8" s="78">
        <f t="shared" si="5"/>
        <v>1051.7</v>
      </c>
      <c r="BP8" s="78">
        <f t="shared" si="5"/>
        <v>16118.2</v>
      </c>
      <c r="BQ8" s="78">
        <f t="shared" si="5"/>
        <v>4414.3999999999996</v>
      </c>
      <c r="BR8" s="78">
        <f t="shared" si="5"/>
        <v>1030.5</v>
      </c>
      <c r="BS8" s="78">
        <f t="shared" si="5"/>
        <v>442.7</v>
      </c>
      <c r="BT8" s="78">
        <f t="shared" si="5"/>
        <v>3367.5</v>
      </c>
      <c r="BU8" s="78">
        <f t="shared" si="5"/>
        <v>59296.5</v>
      </c>
      <c r="BV8" s="78">
        <f t="shared" si="5"/>
        <v>8548.9</v>
      </c>
      <c r="BW8" s="78">
        <f t="shared" si="5"/>
        <v>2108.6999999999998</v>
      </c>
      <c r="BX8" s="78">
        <f>BX9+BX41+BX54+BX60+BX80</f>
        <v>9921.7999999999993</v>
      </c>
      <c r="BY8" s="78">
        <f t="shared" si="5"/>
        <v>22649.399999999998</v>
      </c>
      <c r="BZ8" s="78">
        <f t="shared" si="5"/>
        <v>15746.8</v>
      </c>
      <c r="CA8" s="78">
        <f>CA9+CA41+CA54+CA60+CA80</f>
        <v>72008.100000000006</v>
      </c>
      <c r="CB8" s="78">
        <f t="shared" si="5"/>
        <v>7533.3</v>
      </c>
      <c r="CC8" s="78">
        <f t="shared" si="5"/>
        <v>2176.8000000000002</v>
      </c>
      <c r="CD8" s="78">
        <f t="shared" si="5"/>
        <v>13463.699999999999</v>
      </c>
      <c r="CE8" s="78">
        <f t="shared" si="5"/>
        <v>95.1</v>
      </c>
      <c r="CF8" s="78">
        <f t="shared" ref="CF8" si="6">CF9+CF41+CF54+CF60+CF80</f>
        <v>0</v>
      </c>
      <c r="CG8" s="78">
        <f t="shared" ref="CG8:CG26" si="7">SUM(CH8:DB8)</f>
        <v>259202.00000000003</v>
      </c>
      <c r="CH8" s="78">
        <f t="shared" ref="CH8:DB8" si="8">CH9+CH41+CH54+CH60+CH80</f>
        <v>2036.9</v>
      </c>
      <c r="CI8" s="78">
        <f t="shared" si="8"/>
        <v>43934.3</v>
      </c>
      <c r="CJ8" s="78">
        <f t="shared" si="8"/>
        <v>0.9</v>
      </c>
      <c r="CK8" s="78">
        <f t="shared" si="8"/>
        <v>31368.700000000004</v>
      </c>
      <c r="CL8" s="78">
        <f t="shared" si="8"/>
        <v>1095.8</v>
      </c>
      <c r="CM8" s="78">
        <f t="shared" si="8"/>
        <v>16129.7</v>
      </c>
      <c r="CN8" s="78">
        <f t="shared" si="8"/>
        <v>3980.8</v>
      </c>
      <c r="CO8" s="78">
        <f t="shared" si="8"/>
        <v>927.6</v>
      </c>
      <c r="CP8" s="78">
        <f t="shared" si="8"/>
        <v>452.1</v>
      </c>
      <c r="CQ8" s="78">
        <f t="shared" si="8"/>
        <v>3502.2</v>
      </c>
      <c r="CR8" s="78">
        <f t="shared" si="8"/>
        <v>61874.1</v>
      </c>
      <c r="CS8" s="78">
        <f t="shared" si="8"/>
        <v>5904.1</v>
      </c>
      <c r="CT8" s="78">
        <f t="shared" si="8"/>
        <v>1834.4</v>
      </c>
      <c r="CU8" s="78">
        <f t="shared" si="8"/>
        <v>9563.6</v>
      </c>
      <c r="CV8" s="78">
        <f t="shared" si="8"/>
        <v>26636.7</v>
      </c>
      <c r="CW8" s="78">
        <f t="shared" si="8"/>
        <v>15746.8</v>
      </c>
      <c r="CX8" s="78">
        <f t="shared" si="8"/>
        <v>14459.5</v>
      </c>
      <c r="CY8" s="78">
        <f t="shared" si="8"/>
        <v>7533.3</v>
      </c>
      <c r="CZ8" s="78">
        <f t="shared" si="8"/>
        <v>1958.5</v>
      </c>
      <c r="DA8" s="78">
        <f t="shared" si="8"/>
        <v>10159</v>
      </c>
      <c r="DB8" s="78">
        <f t="shared" si="8"/>
        <v>103</v>
      </c>
      <c r="DC8" s="78">
        <f t="shared" ref="DC8:DC39" si="9">SUM(DD8:DX8)</f>
        <v>311876.89999999997</v>
      </c>
      <c r="DD8" s="62">
        <f t="shared" ref="DD8:DX8" si="10">DD9+DD41+DD54+DD60+DD80</f>
        <v>2036.9</v>
      </c>
      <c r="DE8" s="62">
        <f t="shared" si="10"/>
        <v>43934.3</v>
      </c>
      <c r="DF8" s="62">
        <f t="shared" si="10"/>
        <v>0.8</v>
      </c>
      <c r="DG8" s="62">
        <f t="shared" si="10"/>
        <v>31797.500000000004</v>
      </c>
      <c r="DH8" s="62">
        <f t="shared" si="10"/>
        <v>1133.8</v>
      </c>
      <c r="DI8" s="62">
        <f t="shared" si="10"/>
        <v>16141.8</v>
      </c>
      <c r="DJ8" s="62">
        <f t="shared" si="10"/>
        <v>4041.9</v>
      </c>
      <c r="DK8" s="62">
        <f t="shared" si="10"/>
        <v>953.2</v>
      </c>
      <c r="DL8" s="62">
        <f t="shared" si="10"/>
        <v>354.8</v>
      </c>
      <c r="DM8" s="62">
        <f t="shared" si="10"/>
        <v>3642.3</v>
      </c>
      <c r="DN8" s="62">
        <f t="shared" si="10"/>
        <v>60409.8</v>
      </c>
      <c r="DO8" s="62">
        <f t="shared" si="10"/>
        <v>5035.8999999999996</v>
      </c>
      <c r="DP8" s="62">
        <f t="shared" si="10"/>
        <v>13560.599999999999</v>
      </c>
      <c r="DQ8" s="62">
        <f t="shared" si="10"/>
        <v>3939.9</v>
      </c>
      <c r="DR8" s="62">
        <f t="shared" si="10"/>
        <v>31795.3</v>
      </c>
      <c r="DS8" s="62">
        <f t="shared" si="10"/>
        <v>15746.8</v>
      </c>
      <c r="DT8" s="62">
        <f t="shared" ref="DT8" si="11">DT9+DT41+DT54+DT60+DT80</f>
        <v>54760</v>
      </c>
      <c r="DU8" s="62">
        <f t="shared" si="10"/>
        <v>7533.3</v>
      </c>
      <c r="DV8" s="62">
        <f t="shared" si="10"/>
        <v>1789.3</v>
      </c>
      <c r="DW8" s="62">
        <f t="shared" si="10"/>
        <v>13125.7</v>
      </c>
      <c r="DX8" s="62">
        <f t="shared" si="10"/>
        <v>143</v>
      </c>
    </row>
    <row r="9" spans="1:128" ht="52.5" x14ac:dyDescent="0.2">
      <c r="A9" s="60" t="s">
        <v>317</v>
      </c>
      <c r="B9" s="61">
        <v>2501</v>
      </c>
      <c r="C9" s="63" t="s">
        <v>10</v>
      </c>
      <c r="D9" s="64" t="s">
        <v>10</v>
      </c>
      <c r="E9" s="64" t="s">
        <v>10</v>
      </c>
      <c r="F9" s="63" t="s">
        <v>10</v>
      </c>
      <c r="G9" s="64" t="s">
        <v>10</v>
      </c>
      <c r="H9" s="64" t="s">
        <v>10</v>
      </c>
      <c r="I9" s="63" t="s">
        <v>10</v>
      </c>
      <c r="J9" s="64" t="s">
        <v>10</v>
      </c>
      <c r="K9" s="64" t="s">
        <v>10</v>
      </c>
      <c r="L9" s="64" t="s">
        <v>10</v>
      </c>
      <c r="M9" s="64" t="s">
        <v>10</v>
      </c>
      <c r="N9" s="78">
        <f>SUM(N10:N40)</f>
        <v>260102.39999999999</v>
      </c>
      <c r="O9" s="78">
        <f t="shared" ref="O9:AD9" si="12">SUM(O10:O40)</f>
        <v>0</v>
      </c>
      <c r="P9" s="78">
        <f t="shared" si="12"/>
        <v>0</v>
      </c>
      <c r="Q9" s="78">
        <f t="shared" si="12"/>
        <v>0</v>
      </c>
      <c r="R9" s="78">
        <f t="shared" si="12"/>
        <v>2267.5</v>
      </c>
      <c r="S9" s="78">
        <f t="shared" si="12"/>
        <v>0</v>
      </c>
      <c r="T9" s="78">
        <f t="shared" si="12"/>
        <v>14960.5</v>
      </c>
      <c r="U9" s="78">
        <f t="shared" si="12"/>
        <v>3922.7</v>
      </c>
      <c r="V9" s="78">
        <f t="shared" si="12"/>
        <v>950.59999999999991</v>
      </c>
      <c r="W9" s="78">
        <f t="shared" si="12"/>
        <v>598.9</v>
      </c>
      <c r="X9" s="78">
        <f t="shared" si="12"/>
        <v>3173.9</v>
      </c>
      <c r="Y9" s="78">
        <f t="shared" si="12"/>
        <v>93504.2</v>
      </c>
      <c r="Z9" s="78">
        <f t="shared" si="12"/>
        <v>4852.0999999999995</v>
      </c>
      <c r="AA9" s="78">
        <f t="shared" si="12"/>
        <v>3063.3</v>
      </c>
      <c r="AB9" s="78">
        <f t="shared" si="12"/>
        <v>9621.1999999999989</v>
      </c>
      <c r="AC9" s="78">
        <f t="shared" si="12"/>
        <v>23838.3</v>
      </c>
      <c r="AD9" s="78">
        <f t="shared" si="12"/>
        <v>11137.5</v>
      </c>
      <c r="AE9" s="78">
        <f t="shared" ref="AE9:AJ9" si="13">SUM(AE10:AE40)</f>
        <v>64341.9</v>
      </c>
      <c r="AF9" s="78">
        <f t="shared" si="13"/>
        <v>2055.1</v>
      </c>
      <c r="AG9" s="78">
        <f t="shared" si="13"/>
        <v>0</v>
      </c>
      <c r="AH9" s="78">
        <f t="shared" si="13"/>
        <v>3060.1000000000004</v>
      </c>
      <c r="AI9" s="78">
        <f t="shared" si="13"/>
        <v>18754.599999999999</v>
      </c>
      <c r="AJ9" s="78">
        <f t="shared" si="13"/>
        <v>0</v>
      </c>
      <c r="AK9" s="78">
        <f t="shared" ref="AK9" si="14">SUM(AK10:AK40)</f>
        <v>0</v>
      </c>
      <c r="AL9" s="78">
        <f>SUM(AL10:AL40)</f>
        <v>194275.69999999995</v>
      </c>
      <c r="AM9" s="78">
        <f t="shared" ref="AM9:BI9" si="15">SUM(AM10:AM40)</f>
        <v>0</v>
      </c>
      <c r="AN9" s="78">
        <f t="shared" si="15"/>
        <v>0</v>
      </c>
      <c r="AO9" s="78">
        <f t="shared" si="15"/>
        <v>0</v>
      </c>
      <c r="AP9" s="78">
        <f t="shared" si="15"/>
        <v>2108.6999999999998</v>
      </c>
      <c r="AQ9" s="78">
        <f t="shared" si="15"/>
        <v>0</v>
      </c>
      <c r="AR9" s="78">
        <f t="shared" si="15"/>
        <v>14936.2</v>
      </c>
      <c r="AS9" s="78">
        <f t="shared" si="15"/>
        <v>3922.2</v>
      </c>
      <c r="AT9" s="78">
        <f t="shared" si="15"/>
        <v>825.59999999999991</v>
      </c>
      <c r="AU9" s="78">
        <f t="shared" si="15"/>
        <v>598.9</v>
      </c>
      <c r="AV9" s="78">
        <f t="shared" si="15"/>
        <v>3168.3</v>
      </c>
      <c r="AW9" s="78">
        <f t="shared" si="15"/>
        <v>89600.5</v>
      </c>
      <c r="AX9" s="78">
        <f t="shared" si="15"/>
        <v>4567.2999999999993</v>
      </c>
      <c r="AY9" s="78">
        <f t="shared" si="15"/>
        <v>2059.1999999999998</v>
      </c>
      <c r="AZ9" s="78">
        <f t="shared" si="15"/>
        <v>7587.9000000000005</v>
      </c>
      <c r="BA9" s="78">
        <f t="shared" si="15"/>
        <v>23809.100000000002</v>
      </c>
      <c r="BB9" s="78">
        <f t="shared" si="15"/>
        <v>11137.5</v>
      </c>
      <c r="BC9" s="78">
        <f t="shared" si="15"/>
        <v>16545.5</v>
      </c>
      <c r="BD9" s="78">
        <f t="shared" si="15"/>
        <v>1778</v>
      </c>
      <c r="BE9" s="78">
        <f t="shared" si="15"/>
        <v>0</v>
      </c>
      <c r="BF9" s="78">
        <f t="shared" si="15"/>
        <v>3036.5</v>
      </c>
      <c r="BG9" s="78">
        <f t="shared" si="15"/>
        <v>8594.2999999999993</v>
      </c>
      <c r="BH9" s="78">
        <f t="shared" ref="BH9" si="16">SUM(BH10:BH40)</f>
        <v>0</v>
      </c>
      <c r="BI9" s="78">
        <f t="shared" si="15"/>
        <v>0</v>
      </c>
      <c r="BJ9" s="78">
        <f>SUM(BK9:CF9)</f>
        <v>208502.8</v>
      </c>
      <c r="BK9" s="78">
        <f t="shared" ref="BK9:CE9" si="17">SUM(BK10:BK40)</f>
        <v>0</v>
      </c>
      <c r="BL9" s="78">
        <f t="shared" si="17"/>
        <v>0</v>
      </c>
      <c r="BM9" s="78">
        <f t="shared" si="17"/>
        <v>0</v>
      </c>
      <c r="BN9" s="78">
        <f t="shared" si="17"/>
        <v>434</v>
      </c>
      <c r="BO9" s="78">
        <f t="shared" si="17"/>
        <v>0</v>
      </c>
      <c r="BP9" s="78">
        <f t="shared" si="17"/>
        <v>16118.2</v>
      </c>
      <c r="BQ9" s="78">
        <f t="shared" si="17"/>
        <v>4414.3999999999996</v>
      </c>
      <c r="BR9" s="78">
        <f t="shared" si="17"/>
        <v>1030.5</v>
      </c>
      <c r="BS9" s="78">
        <f t="shared" si="17"/>
        <v>354.7</v>
      </c>
      <c r="BT9" s="78">
        <f t="shared" si="17"/>
        <v>3367.5</v>
      </c>
      <c r="BU9" s="78">
        <f t="shared" si="17"/>
        <v>59296.5</v>
      </c>
      <c r="BV9" s="78">
        <f t="shared" si="17"/>
        <v>5654.4</v>
      </c>
      <c r="BW9" s="78">
        <f t="shared" si="17"/>
        <v>2108.6999999999998</v>
      </c>
      <c r="BX9" s="78">
        <f t="shared" si="17"/>
        <v>9921.7999999999993</v>
      </c>
      <c r="BY9" s="78">
        <f t="shared" si="17"/>
        <v>22649.399999999998</v>
      </c>
      <c r="BZ9" s="78">
        <f t="shared" si="17"/>
        <v>0</v>
      </c>
      <c r="CA9" s="78">
        <f>SUM(CA10:CA40)</f>
        <v>72008.100000000006</v>
      </c>
      <c r="CB9" s="78">
        <f t="shared" si="17"/>
        <v>0</v>
      </c>
      <c r="CC9" s="78">
        <f t="shared" si="17"/>
        <v>441.8</v>
      </c>
      <c r="CD9" s="78">
        <f t="shared" si="17"/>
        <v>10702.8</v>
      </c>
      <c r="CE9" s="78">
        <f t="shared" si="17"/>
        <v>0</v>
      </c>
      <c r="CF9" s="78">
        <f t="shared" ref="CF9" si="18">SUM(CF10:CF40)</f>
        <v>0</v>
      </c>
      <c r="CG9" s="78">
        <f t="shared" si="7"/>
        <v>152090.30000000002</v>
      </c>
      <c r="CH9" s="78">
        <f t="shared" ref="CH9:DB9" si="19">SUM(CH10:CH40)</f>
        <v>0</v>
      </c>
      <c r="CI9" s="78">
        <f t="shared" si="19"/>
        <v>0</v>
      </c>
      <c r="CJ9" s="78">
        <f t="shared" si="19"/>
        <v>0</v>
      </c>
      <c r="CK9" s="78">
        <f t="shared" si="19"/>
        <v>451.4</v>
      </c>
      <c r="CL9" s="78">
        <f t="shared" si="19"/>
        <v>0</v>
      </c>
      <c r="CM9" s="78">
        <f t="shared" si="19"/>
        <v>16129.7</v>
      </c>
      <c r="CN9" s="78">
        <f t="shared" si="19"/>
        <v>3980.8</v>
      </c>
      <c r="CO9" s="78">
        <f t="shared" si="19"/>
        <v>927.6</v>
      </c>
      <c r="CP9" s="78">
        <f t="shared" si="19"/>
        <v>364.1</v>
      </c>
      <c r="CQ9" s="78">
        <f t="shared" si="19"/>
        <v>3502.2</v>
      </c>
      <c r="CR9" s="78">
        <f t="shared" si="19"/>
        <v>61874.1</v>
      </c>
      <c r="CS9" s="78">
        <f t="shared" si="19"/>
        <v>3009.6</v>
      </c>
      <c r="CT9" s="78">
        <f t="shared" si="19"/>
        <v>1834.4</v>
      </c>
      <c r="CU9" s="78">
        <f t="shared" si="19"/>
        <v>9563.6</v>
      </c>
      <c r="CV9" s="78">
        <f t="shared" si="19"/>
        <v>26636.7</v>
      </c>
      <c r="CW9" s="78">
        <f t="shared" si="19"/>
        <v>0</v>
      </c>
      <c r="CX9" s="78">
        <f t="shared" si="19"/>
        <v>14459.5</v>
      </c>
      <c r="CY9" s="78">
        <f t="shared" si="19"/>
        <v>0</v>
      </c>
      <c r="CZ9" s="78">
        <f t="shared" si="19"/>
        <v>1958.5</v>
      </c>
      <c r="DA9" s="78">
        <f t="shared" si="19"/>
        <v>7398.1</v>
      </c>
      <c r="DB9" s="78">
        <f t="shared" si="19"/>
        <v>0</v>
      </c>
      <c r="DC9" s="78">
        <f t="shared" si="9"/>
        <v>201515.59999999998</v>
      </c>
      <c r="DD9" s="62">
        <f t="shared" ref="DD9:DX9" si="20">SUM(DD10:DD40)</f>
        <v>0</v>
      </c>
      <c r="DE9" s="62">
        <f t="shared" si="20"/>
        <v>0</v>
      </c>
      <c r="DF9" s="62">
        <f t="shared" si="20"/>
        <v>0</v>
      </c>
      <c r="DG9" s="62">
        <f t="shared" si="20"/>
        <v>469.4</v>
      </c>
      <c r="DH9" s="62">
        <f t="shared" si="20"/>
        <v>0</v>
      </c>
      <c r="DI9" s="62">
        <f t="shared" si="20"/>
        <v>16141.8</v>
      </c>
      <c r="DJ9" s="62">
        <f t="shared" si="20"/>
        <v>4041.9</v>
      </c>
      <c r="DK9" s="62">
        <f t="shared" si="20"/>
        <v>953.2</v>
      </c>
      <c r="DL9" s="62">
        <f t="shared" si="20"/>
        <v>266.8</v>
      </c>
      <c r="DM9" s="62">
        <f t="shared" si="20"/>
        <v>3642.3</v>
      </c>
      <c r="DN9" s="62">
        <f t="shared" si="20"/>
        <v>60409.8</v>
      </c>
      <c r="DO9" s="62">
        <f t="shared" si="20"/>
        <v>2141.4</v>
      </c>
      <c r="DP9" s="62">
        <f t="shared" si="20"/>
        <v>13560.599999999999</v>
      </c>
      <c r="DQ9" s="62">
        <f t="shared" si="20"/>
        <v>3939.9</v>
      </c>
      <c r="DR9" s="62">
        <f t="shared" si="20"/>
        <v>31795.3</v>
      </c>
      <c r="DS9" s="62">
        <f t="shared" si="20"/>
        <v>0</v>
      </c>
      <c r="DT9" s="62">
        <f t="shared" ref="DT9" si="21">SUM(DT10:DT40)</f>
        <v>54760</v>
      </c>
      <c r="DU9" s="62">
        <f t="shared" si="20"/>
        <v>0</v>
      </c>
      <c r="DV9" s="62">
        <f t="shared" si="20"/>
        <v>1789.3</v>
      </c>
      <c r="DW9" s="62">
        <f t="shared" si="20"/>
        <v>7603.9</v>
      </c>
      <c r="DX9" s="62">
        <f t="shared" si="20"/>
        <v>0</v>
      </c>
    </row>
    <row r="10" spans="1:128" ht="92.25" customHeight="1" x14ac:dyDescent="0.2">
      <c r="A10" s="86" t="s">
        <v>318</v>
      </c>
      <c r="B10" s="104">
        <v>2502</v>
      </c>
      <c r="C10" s="21" t="s">
        <v>56</v>
      </c>
      <c r="D10" s="21" t="s">
        <v>57</v>
      </c>
      <c r="E10" s="21" t="s">
        <v>154</v>
      </c>
      <c r="F10" s="21" t="s">
        <v>181</v>
      </c>
      <c r="G10" s="21" t="s">
        <v>63</v>
      </c>
      <c r="H10" s="21" t="s">
        <v>182</v>
      </c>
      <c r="I10" s="21" t="s">
        <v>191</v>
      </c>
      <c r="J10" s="21" t="s">
        <v>188</v>
      </c>
      <c r="K10" s="21" t="s">
        <v>192</v>
      </c>
      <c r="L10" s="17" t="s">
        <v>20</v>
      </c>
      <c r="M10" s="23" t="s">
        <v>157</v>
      </c>
      <c r="N10" s="149">
        <f>SUM(O10:AK10)</f>
        <v>0</v>
      </c>
      <c r="O10" s="149"/>
      <c r="P10" s="149"/>
      <c r="Q10" s="149"/>
      <c r="R10" s="149">
        <v>0</v>
      </c>
      <c r="S10" s="149"/>
      <c r="T10" s="149"/>
      <c r="U10" s="149"/>
      <c r="V10" s="149"/>
      <c r="W10" s="149"/>
      <c r="X10" s="149"/>
      <c r="Y10" s="149"/>
      <c r="Z10" s="149"/>
      <c r="AA10" s="149"/>
      <c r="AB10" s="149"/>
      <c r="AC10" s="149"/>
      <c r="AD10" s="149"/>
      <c r="AE10" s="149"/>
      <c r="AF10" s="149"/>
      <c r="AG10" s="149"/>
      <c r="AH10" s="149"/>
      <c r="AI10" s="149"/>
      <c r="AJ10" s="149"/>
      <c r="AK10" s="149"/>
      <c r="AL10" s="149">
        <f t="shared" ref="AL10:AL40" si="22">SUM(AM10:BI10)</f>
        <v>0</v>
      </c>
      <c r="AM10" s="149"/>
      <c r="AN10" s="149"/>
      <c r="AO10" s="149"/>
      <c r="AP10" s="149">
        <v>0</v>
      </c>
      <c r="AQ10" s="149"/>
      <c r="AR10" s="149"/>
      <c r="AS10" s="149"/>
      <c r="AT10" s="149"/>
      <c r="AU10" s="149"/>
      <c r="AV10" s="149"/>
      <c r="AW10" s="149"/>
      <c r="AX10" s="149"/>
      <c r="AY10" s="149"/>
      <c r="AZ10" s="149"/>
      <c r="BA10" s="149"/>
      <c r="BB10" s="149"/>
      <c r="BC10" s="149"/>
      <c r="BD10" s="149"/>
      <c r="BE10" s="149"/>
      <c r="BF10" s="149"/>
      <c r="BG10" s="149"/>
      <c r="BH10" s="149"/>
      <c r="BI10" s="149"/>
      <c r="BJ10" s="149">
        <f t="shared" ref="BJ10:BJ26" si="23">SUM(BK10:CE10)</f>
        <v>0</v>
      </c>
      <c r="BK10" s="149"/>
      <c r="BL10" s="149"/>
      <c r="BM10" s="149"/>
      <c r="BN10" s="149">
        <v>0</v>
      </c>
      <c r="BO10" s="149"/>
      <c r="BP10" s="149"/>
      <c r="BQ10" s="149"/>
      <c r="BR10" s="149"/>
      <c r="BS10" s="149"/>
      <c r="BT10" s="149"/>
      <c r="BU10" s="149"/>
      <c r="BV10" s="149"/>
      <c r="BW10" s="149"/>
      <c r="BX10" s="149"/>
      <c r="BY10" s="149"/>
      <c r="BZ10" s="149"/>
      <c r="CA10" s="149"/>
      <c r="CB10" s="149"/>
      <c r="CC10" s="149"/>
      <c r="CD10" s="149"/>
      <c r="CE10" s="149"/>
      <c r="CF10" s="149"/>
      <c r="CG10" s="149">
        <f t="shared" si="7"/>
        <v>0</v>
      </c>
      <c r="CH10" s="149"/>
      <c r="CI10" s="149"/>
      <c r="CJ10" s="149"/>
      <c r="CK10" s="149">
        <v>0</v>
      </c>
      <c r="CL10" s="149"/>
      <c r="CM10" s="149"/>
      <c r="CN10" s="149"/>
      <c r="CO10" s="149"/>
      <c r="CP10" s="149"/>
      <c r="CQ10" s="149"/>
      <c r="CR10" s="149"/>
      <c r="CS10" s="149"/>
      <c r="CT10" s="149"/>
      <c r="CU10" s="149"/>
      <c r="CV10" s="149"/>
      <c r="CW10" s="149"/>
      <c r="CX10" s="149"/>
      <c r="CY10" s="149"/>
      <c r="CZ10" s="149"/>
      <c r="DA10" s="149"/>
      <c r="DB10" s="149"/>
      <c r="DC10" s="120">
        <f t="shared" si="9"/>
        <v>0</v>
      </c>
      <c r="DD10" s="11"/>
      <c r="DE10" s="11"/>
      <c r="DF10" s="11"/>
      <c r="DG10" s="11">
        <v>0</v>
      </c>
      <c r="DH10" s="11"/>
      <c r="DI10" s="11"/>
      <c r="DJ10" s="11"/>
      <c r="DK10" s="11"/>
      <c r="DL10" s="11"/>
      <c r="DM10" s="11"/>
      <c r="DN10" s="11"/>
      <c r="DO10" s="11"/>
      <c r="DP10" s="11"/>
      <c r="DQ10" s="11"/>
      <c r="DR10" s="11"/>
      <c r="DS10" s="11"/>
      <c r="DT10" s="11"/>
      <c r="DU10" s="11"/>
      <c r="DV10" s="11"/>
      <c r="DW10" s="11"/>
      <c r="DX10" s="11"/>
    </row>
    <row r="11" spans="1:128" ht="54" customHeight="1" x14ac:dyDescent="0.2">
      <c r="A11" s="86" t="s">
        <v>319</v>
      </c>
      <c r="B11" s="104">
        <v>2504</v>
      </c>
      <c r="C11" s="21" t="s">
        <v>56</v>
      </c>
      <c r="D11" s="21" t="s">
        <v>58</v>
      </c>
      <c r="E11" s="21" t="s">
        <v>154</v>
      </c>
      <c r="F11" s="21" t="s">
        <v>62</v>
      </c>
      <c r="G11" s="21" t="s">
        <v>63</v>
      </c>
      <c r="H11" s="21" t="s">
        <v>64</v>
      </c>
      <c r="I11" s="21" t="s">
        <v>186</v>
      </c>
      <c r="J11" s="21" t="s">
        <v>183</v>
      </c>
      <c r="K11" s="21" t="s">
        <v>187</v>
      </c>
      <c r="L11" s="17" t="s">
        <v>184</v>
      </c>
      <c r="M11" s="17" t="s">
        <v>185</v>
      </c>
      <c r="N11" s="149">
        <f t="shared" ref="N11:N40" si="24">SUM(O11:AK11)</f>
        <v>2414</v>
      </c>
      <c r="O11" s="149"/>
      <c r="P11" s="149"/>
      <c r="Q11" s="149"/>
      <c r="R11" s="149">
        <f>32.2</f>
        <v>32.200000000000003</v>
      </c>
      <c r="S11" s="149"/>
      <c r="T11" s="149"/>
      <c r="U11" s="149"/>
      <c r="V11" s="149"/>
      <c r="W11" s="149"/>
      <c r="X11" s="149"/>
      <c r="Y11" s="149"/>
      <c r="Z11" s="149">
        <f>823.4+583.9+72</f>
        <v>1479.3</v>
      </c>
      <c r="AA11" s="149">
        <f>714.3+188.2</f>
        <v>902.5</v>
      </c>
      <c r="AB11" s="149"/>
      <c r="AC11" s="149"/>
      <c r="AD11" s="149"/>
      <c r="AE11" s="149"/>
      <c r="AF11" s="149"/>
      <c r="AG11" s="149"/>
      <c r="AH11" s="149"/>
      <c r="AI11" s="149"/>
      <c r="AJ11" s="149"/>
      <c r="AK11" s="149"/>
      <c r="AL11" s="149">
        <f t="shared" si="22"/>
        <v>2131.4</v>
      </c>
      <c r="AM11" s="149"/>
      <c r="AN11" s="149"/>
      <c r="AO11" s="149"/>
      <c r="AP11" s="149">
        <f>32.2</f>
        <v>32.200000000000003</v>
      </c>
      <c r="AQ11" s="149"/>
      <c r="AR11" s="149"/>
      <c r="AS11" s="149"/>
      <c r="AT11" s="149"/>
      <c r="AU11" s="149"/>
      <c r="AV11" s="149"/>
      <c r="AW11" s="149"/>
      <c r="AX11" s="149">
        <f>707.6+509.4+72</f>
        <v>1289</v>
      </c>
      <c r="AY11" s="149">
        <f>622+188.2</f>
        <v>810.2</v>
      </c>
      <c r="AZ11" s="149"/>
      <c r="BA11" s="149"/>
      <c r="BB11" s="149"/>
      <c r="BC11" s="149"/>
      <c r="BD11" s="149"/>
      <c r="BE11" s="149"/>
      <c r="BF11" s="149"/>
      <c r="BG11" s="149"/>
      <c r="BH11" s="149"/>
      <c r="BI11" s="149"/>
      <c r="BJ11" s="149">
        <f t="shared" si="23"/>
        <v>2275.3000000000002</v>
      </c>
      <c r="BK11" s="149"/>
      <c r="BL11" s="149"/>
      <c r="BM11" s="149"/>
      <c r="BN11" s="149"/>
      <c r="BO11" s="149"/>
      <c r="BP11" s="149"/>
      <c r="BQ11" s="149"/>
      <c r="BR11" s="149"/>
      <c r="BS11" s="149"/>
      <c r="BT11" s="149"/>
      <c r="BU11" s="149"/>
      <c r="BV11" s="149">
        <f>946.2+537.2</f>
        <v>1483.4</v>
      </c>
      <c r="BW11" s="149">
        <f>64.2+727.7</f>
        <v>791.90000000000009</v>
      </c>
      <c r="BX11" s="149"/>
      <c r="BY11" s="149"/>
      <c r="BZ11" s="149"/>
      <c r="CA11" s="149"/>
      <c r="CB11" s="149"/>
      <c r="CC11" s="149"/>
      <c r="CD11" s="149"/>
      <c r="CE11" s="149"/>
      <c r="CF11" s="149"/>
      <c r="CG11" s="149">
        <f t="shared" si="7"/>
        <v>1543</v>
      </c>
      <c r="CH11" s="149"/>
      <c r="CI11" s="149"/>
      <c r="CJ11" s="149"/>
      <c r="CK11" s="149"/>
      <c r="CL11" s="149"/>
      <c r="CM11" s="149"/>
      <c r="CN11" s="149"/>
      <c r="CO11" s="149"/>
      <c r="CP11" s="149"/>
      <c r="CQ11" s="149"/>
      <c r="CR11" s="149"/>
      <c r="CS11" s="149">
        <f>984+559</f>
        <v>1543</v>
      </c>
      <c r="CT11" s="149"/>
      <c r="CU11" s="149"/>
      <c r="CV11" s="149"/>
      <c r="CW11" s="149"/>
      <c r="CX11" s="149"/>
      <c r="CY11" s="149"/>
      <c r="CZ11" s="149"/>
      <c r="DA11" s="149"/>
      <c r="DB11" s="149"/>
      <c r="DC11" s="120">
        <f t="shared" si="9"/>
        <v>1604.4</v>
      </c>
      <c r="DD11" s="11"/>
      <c r="DE11" s="11"/>
      <c r="DF11" s="11"/>
      <c r="DG11" s="11"/>
      <c r="DH11" s="11"/>
      <c r="DI11" s="11"/>
      <c r="DJ11" s="11"/>
      <c r="DK11" s="11"/>
      <c r="DL11" s="11"/>
      <c r="DM11" s="11"/>
      <c r="DN11" s="11"/>
      <c r="DO11" s="11">
        <f>1023.4+581</f>
        <v>1604.4</v>
      </c>
      <c r="DP11" s="11"/>
      <c r="DQ11" s="11"/>
      <c r="DR11" s="11"/>
      <c r="DS11" s="11"/>
      <c r="DT11" s="11"/>
      <c r="DU11" s="11"/>
      <c r="DV11" s="11"/>
      <c r="DW11" s="11"/>
      <c r="DX11" s="11"/>
    </row>
    <row r="12" spans="1:128" ht="68.25" customHeight="1" x14ac:dyDescent="0.2">
      <c r="A12" s="86" t="s">
        <v>320</v>
      </c>
      <c r="B12" s="74">
        <v>2505</v>
      </c>
      <c r="C12" s="21" t="s">
        <v>56</v>
      </c>
      <c r="D12" s="21" t="s">
        <v>237</v>
      </c>
      <c r="E12" s="21" t="s">
        <v>154</v>
      </c>
      <c r="F12" s="49" t="s">
        <v>238</v>
      </c>
      <c r="G12" s="36" t="s">
        <v>63</v>
      </c>
      <c r="H12" s="21" t="s">
        <v>239</v>
      </c>
      <c r="I12" s="41"/>
      <c r="J12" s="41"/>
      <c r="K12" s="41"/>
      <c r="L12" s="17" t="s">
        <v>37</v>
      </c>
      <c r="M12" s="17" t="s">
        <v>21</v>
      </c>
      <c r="N12" s="149">
        <f t="shared" si="24"/>
        <v>10818.999999999998</v>
      </c>
      <c r="O12" s="149"/>
      <c r="P12" s="149"/>
      <c r="Q12" s="149"/>
      <c r="R12" s="149">
        <v>1197.8</v>
      </c>
      <c r="S12" s="149"/>
      <c r="T12" s="149"/>
      <c r="U12" s="149"/>
      <c r="V12" s="149"/>
      <c r="W12" s="149"/>
      <c r="X12" s="149"/>
      <c r="Y12" s="149"/>
      <c r="Z12" s="149"/>
      <c r="AA12" s="149"/>
      <c r="AB12" s="149">
        <f>695.4+3038.9+477.9+675.1+471.9+62.8+1197.1+458.4+167+1280.9+900+195.8</f>
        <v>9621.1999999999989</v>
      </c>
      <c r="AC12" s="149"/>
      <c r="AD12" s="149"/>
      <c r="AE12" s="149"/>
      <c r="AF12" s="149"/>
      <c r="AG12" s="149"/>
      <c r="AH12" s="149"/>
      <c r="AI12" s="149"/>
      <c r="AJ12" s="149"/>
      <c r="AK12" s="149"/>
      <c r="AL12" s="149">
        <f t="shared" si="22"/>
        <v>8785.7000000000007</v>
      </c>
      <c r="AM12" s="149"/>
      <c r="AN12" s="149"/>
      <c r="AO12" s="149"/>
      <c r="AP12" s="149">
        <v>1197.8</v>
      </c>
      <c r="AQ12" s="149"/>
      <c r="AR12" s="149"/>
      <c r="AS12" s="149"/>
      <c r="AT12" s="149"/>
      <c r="AU12" s="149"/>
      <c r="AV12" s="149"/>
      <c r="AW12" s="149"/>
      <c r="AX12" s="149"/>
      <c r="AY12" s="149"/>
      <c r="AZ12" s="149">
        <f>688.6+3038.8+477.9+675.1+471.9+149.8+167+823+900+195.8</f>
        <v>7587.9000000000005</v>
      </c>
      <c r="BA12" s="149"/>
      <c r="BB12" s="149"/>
      <c r="BC12" s="149"/>
      <c r="BD12" s="149"/>
      <c r="BE12" s="149"/>
      <c r="BF12" s="149"/>
      <c r="BG12" s="149"/>
      <c r="BH12" s="149"/>
      <c r="BI12" s="149"/>
      <c r="BJ12" s="149">
        <f t="shared" si="23"/>
        <v>9921.7999999999993</v>
      </c>
      <c r="BK12" s="149"/>
      <c r="BL12" s="149"/>
      <c r="BM12" s="149"/>
      <c r="BN12" s="149"/>
      <c r="BO12" s="149"/>
      <c r="BP12" s="149"/>
      <c r="BQ12" s="149"/>
      <c r="BR12" s="149"/>
      <c r="BS12" s="149"/>
      <c r="BT12" s="149"/>
      <c r="BU12" s="149"/>
      <c r="BV12" s="149"/>
      <c r="BW12" s="149"/>
      <c r="BX12" s="149">
        <f>1698.3+286.2+4201.2+490.8+2265.8+979.5</f>
        <v>9921.7999999999993</v>
      </c>
      <c r="BY12" s="149"/>
      <c r="BZ12" s="149"/>
      <c r="CA12" s="149"/>
      <c r="CB12" s="149"/>
      <c r="CC12" s="149"/>
      <c r="CD12" s="149"/>
      <c r="CE12" s="149"/>
      <c r="CF12" s="149"/>
      <c r="CG12" s="149">
        <f t="shared" si="7"/>
        <v>9563.6</v>
      </c>
      <c r="CH12" s="149"/>
      <c r="CI12" s="149"/>
      <c r="CJ12" s="149"/>
      <c r="CK12" s="149">
        <v>0</v>
      </c>
      <c r="CL12" s="149"/>
      <c r="CM12" s="149"/>
      <c r="CN12" s="149"/>
      <c r="CO12" s="149"/>
      <c r="CP12" s="149"/>
      <c r="CQ12" s="149"/>
      <c r="CR12" s="149"/>
      <c r="CS12" s="149"/>
      <c r="CT12" s="149"/>
      <c r="CU12" s="149">
        <v>9563.6</v>
      </c>
      <c r="CV12" s="149"/>
      <c r="CW12" s="149">
        <v>0</v>
      </c>
      <c r="CX12" s="149"/>
      <c r="CY12" s="149"/>
      <c r="CZ12" s="149"/>
      <c r="DA12" s="149"/>
      <c r="DB12" s="149"/>
      <c r="DC12" s="120">
        <f t="shared" si="9"/>
        <v>3939.9</v>
      </c>
      <c r="DD12" s="11"/>
      <c r="DE12" s="11"/>
      <c r="DF12" s="11"/>
      <c r="DG12" s="11">
        <v>0</v>
      </c>
      <c r="DH12" s="11"/>
      <c r="DI12" s="11"/>
      <c r="DJ12" s="11"/>
      <c r="DK12" s="11"/>
      <c r="DL12" s="11"/>
      <c r="DM12" s="11"/>
      <c r="DN12" s="11"/>
      <c r="DO12" s="11"/>
      <c r="DP12" s="11"/>
      <c r="DQ12" s="11">
        <v>3939.9</v>
      </c>
      <c r="DR12" s="11"/>
      <c r="DS12" s="11"/>
      <c r="DT12" s="11"/>
      <c r="DU12" s="11"/>
      <c r="DV12" s="11"/>
      <c r="DW12" s="11"/>
      <c r="DX12" s="11"/>
    </row>
    <row r="13" spans="1:128" ht="138.75" customHeight="1" x14ac:dyDescent="0.2">
      <c r="A13" s="86" t="s">
        <v>321</v>
      </c>
      <c r="B13" s="104">
        <v>2507</v>
      </c>
      <c r="C13" s="21" t="s">
        <v>60</v>
      </c>
      <c r="D13" s="21" t="s">
        <v>61</v>
      </c>
      <c r="E13" s="21" t="s">
        <v>155</v>
      </c>
      <c r="F13" s="21" t="s">
        <v>223</v>
      </c>
      <c r="G13" s="21" t="s">
        <v>224</v>
      </c>
      <c r="H13" s="21" t="s">
        <v>225</v>
      </c>
      <c r="I13" s="21" t="s">
        <v>226</v>
      </c>
      <c r="J13" s="21" t="s">
        <v>227</v>
      </c>
      <c r="K13" s="21" t="s">
        <v>228</v>
      </c>
      <c r="L13" s="17" t="s">
        <v>24</v>
      </c>
      <c r="M13" s="17" t="s">
        <v>33</v>
      </c>
      <c r="N13" s="149">
        <f t="shared" si="24"/>
        <v>93504.2</v>
      </c>
      <c r="O13" s="149"/>
      <c r="P13" s="149"/>
      <c r="Q13" s="149"/>
      <c r="R13" s="149"/>
      <c r="S13" s="149"/>
      <c r="T13" s="149"/>
      <c r="U13" s="149"/>
      <c r="V13" s="149"/>
      <c r="W13" s="149"/>
      <c r="X13" s="149"/>
      <c r="Y13" s="149">
        <v>93504.2</v>
      </c>
      <c r="Z13" s="149"/>
      <c r="AA13" s="149"/>
      <c r="AB13" s="149"/>
      <c r="AC13" s="149"/>
      <c r="AD13" s="149"/>
      <c r="AE13" s="149"/>
      <c r="AF13" s="149"/>
      <c r="AG13" s="149"/>
      <c r="AH13" s="149"/>
      <c r="AI13" s="149"/>
      <c r="AJ13" s="149"/>
      <c r="AK13" s="149"/>
      <c r="AL13" s="149">
        <f t="shared" si="22"/>
        <v>89600.5</v>
      </c>
      <c r="AM13" s="149"/>
      <c r="AN13" s="149"/>
      <c r="AO13" s="149"/>
      <c r="AP13" s="149"/>
      <c r="AQ13" s="149"/>
      <c r="AR13" s="149"/>
      <c r="AS13" s="149"/>
      <c r="AT13" s="149"/>
      <c r="AU13" s="149"/>
      <c r="AV13" s="149"/>
      <c r="AW13" s="149">
        <v>89600.5</v>
      </c>
      <c r="AX13" s="149"/>
      <c r="AY13" s="149"/>
      <c r="AZ13" s="149"/>
      <c r="BA13" s="149"/>
      <c r="BB13" s="149"/>
      <c r="BC13" s="149"/>
      <c r="BD13" s="149"/>
      <c r="BE13" s="149"/>
      <c r="BF13" s="149"/>
      <c r="BG13" s="149"/>
      <c r="BH13" s="149"/>
      <c r="BI13" s="149"/>
      <c r="BJ13" s="149">
        <f t="shared" si="23"/>
        <v>59296.5</v>
      </c>
      <c r="BK13" s="149"/>
      <c r="BL13" s="149"/>
      <c r="BM13" s="149"/>
      <c r="BN13" s="149"/>
      <c r="BO13" s="149"/>
      <c r="BP13" s="149"/>
      <c r="BQ13" s="149"/>
      <c r="BR13" s="149"/>
      <c r="BS13" s="149"/>
      <c r="BT13" s="149"/>
      <c r="BU13" s="149">
        <v>59296.5</v>
      </c>
      <c r="BV13" s="149"/>
      <c r="BW13" s="149"/>
      <c r="BX13" s="149"/>
      <c r="BY13" s="149"/>
      <c r="BZ13" s="149"/>
      <c r="CA13" s="149"/>
      <c r="CB13" s="149"/>
      <c r="CC13" s="149"/>
      <c r="CD13" s="149"/>
      <c r="CE13" s="149"/>
      <c r="CF13" s="149"/>
      <c r="CG13" s="149">
        <f t="shared" si="7"/>
        <v>61874.1</v>
      </c>
      <c r="CH13" s="149"/>
      <c r="CI13" s="149"/>
      <c r="CJ13" s="149"/>
      <c r="CK13" s="149"/>
      <c r="CL13" s="149"/>
      <c r="CM13" s="149"/>
      <c r="CN13" s="149"/>
      <c r="CO13" s="149"/>
      <c r="CP13" s="149"/>
      <c r="CQ13" s="149"/>
      <c r="CR13" s="149">
        <v>61874.1</v>
      </c>
      <c r="CS13" s="149"/>
      <c r="CT13" s="149"/>
      <c r="CU13" s="149"/>
      <c r="CV13" s="149"/>
      <c r="CW13" s="149"/>
      <c r="CX13" s="149"/>
      <c r="CY13" s="149"/>
      <c r="CZ13" s="149"/>
      <c r="DA13" s="149"/>
      <c r="DB13" s="149"/>
      <c r="DC13" s="120">
        <f t="shared" si="9"/>
        <v>60409.8</v>
      </c>
      <c r="DD13" s="11"/>
      <c r="DE13" s="11"/>
      <c r="DF13" s="11"/>
      <c r="DG13" s="11"/>
      <c r="DH13" s="11"/>
      <c r="DI13" s="11"/>
      <c r="DJ13" s="11"/>
      <c r="DK13" s="11"/>
      <c r="DL13" s="11"/>
      <c r="DM13" s="11"/>
      <c r="DN13" s="11">
        <v>60409.8</v>
      </c>
      <c r="DO13" s="11"/>
      <c r="DP13" s="11"/>
      <c r="DQ13" s="11"/>
      <c r="DR13" s="11"/>
      <c r="DS13" s="11"/>
      <c r="DT13" s="11"/>
      <c r="DU13" s="11"/>
      <c r="DV13" s="11"/>
      <c r="DW13" s="11"/>
      <c r="DX13" s="11"/>
    </row>
    <row r="14" spans="1:128" ht="131.25" customHeight="1" x14ac:dyDescent="0.2">
      <c r="A14" s="86" t="s">
        <v>322</v>
      </c>
      <c r="B14" s="104">
        <v>2508</v>
      </c>
      <c r="C14" s="21"/>
      <c r="D14" s="21"/>
      <c r="E14" s="21"/>
      <c r="F14" s="21"/>
      <c r="G14" s="21"/>
      <c r="H14" s="21"/>
      <c r="I14" s="21"/>
      <c r="J14" s="21"/>
      <c r="K14" s="21"/>
      <c r="L14" s="17"/>
      <c r="M14" s="17"/>
      <c r="N14" s="149">
        <f t="shared" si="24"/>
        <v>23975.5</v>
      </c>
      <c r="O14" s="149"/>
      <c r="P14" s="149"/>
      <c r="Q14" s="149"/>
      <c r="R14" s="149"/>
      <c r="S14" s="149"/>
      <c r="T14" s="149"/>
      <c r="U14" s="149"/>
      <c r="V14" s="149"/>
      <c r="W14" s="149"/>
      <c r="X14" s="149"/>
      <c r="Y14" s="149"/>
      <c r="Z14" s="149"/>
      <c r="AA14" s="149">
        <f>106.6+1986.3+67.9</f>
        <v>2160.8000000000002</v>
      </c>
      <c r="AB14" s="149">
        <v>0</v>
      </c>
      <c r="AC14" s="149"/>
      <c r="AD14" s="149"/>
      <c r="AE14" s="149"/>
      <c r="AF14" s="149"/>
      <c r="AG14" s="149"/>
      <c r="AH14" s="149">
        <f>825.9+272.5+1961.7</f>
        <v>3060.1000000000004</v>
      </c>
      <c r="AI14" s="149">
        <f>14185.1+4569.5</f>
        <v>18754.599999999999</v>
      </c>
      <c r="AJ14" s="149"/>
      <c r="AK14" s="149"/>
      <c r="AL14" s="149">
        <f t="shared" si="22"/>
        <v>12879.8</v>
      </c>
      <c r="AM14" s="149"/>
      <c r="AN14" s="149"/>
      <c r="AO14" s="149"/>
      <c r="AP14" s="149"/>
      <c r="AQ14" s="149"/>
      <c r="AR14" s="149"/>
      <c r="AS14" s="149"/>
      <c r="AT14" s="149"/>
      <c r="AU14" s="149"/>
      <c r="AV14" s="149"/>
      <c r="AW14" s="149"/>
      <c r="AX14" s="149"/>
      <c r="AY14" s="149">
        <f>104.1+1077+67.9</f>
        <v>1249</v>
      </c>
      <c r="AZ14" s="149"/>
      <c r="BA14" s="149"/>
      <c r="BB14" s="149"/>
      <c r="BC14" s="149"/>
      <c r="BD14" s="149"/>
      <c r="BE14" s="149"/>
      <c r="BF14" s="149">
        <f>825.9+248.8+1961.8</f>
        <v>3036.5</v>
      </c>
      <c r="BG14" s="149">
        <f>4024.8+4569.5</f>
        <v>8594.2999999999993</v>
      </c>
      <c r="BH14" s="149"/>
      <c r="BI14" s="149"/>
      <c r="BJ14" s="149">
        <f t="shared" si="23"/>
        <v>12461.4</v>
      </c>
      <c r="BK14" s="149"/>
      <c r="BL14" s="149"/>
      <c r="BM14" s="149"/>
      <c r="BN14" s="149"/>
      <c r="BO14" s="149"/>
      <c r="BP14" s="149"/>
      <c r="BQ14" s="149"/>
      <c r="BR14" s="149"/>
      <c r="BS14" s="149"/>
      <c r="BT14" s="149"/>
      <c r="BU14" s="149"/>
      <c r="BV14" s="149"/>
      <c r="BW14" s="149">
        <f>1123+64.1+129.7</f>
        <v>1316.8</v>
      </c>
      <c r="BX14" s="149">
        <v>0</v>
      </c>
      <c r="BY14" s="149"/>
      <c r="BZ14" s="149"/>
      <c r="CA14" s="149"/>
      <c r="CB14" s="149"/>
      <c r="CC14" s="149">
        <v>441.8</v>
      </c>
      <c r="CD14" s="149">
        <f>8942.8+1760</f>
        <v>10702.8</v>
      </c>
      <c r="CE14" s="149"/>
      <c r="CF14" s="149"/>
      <c r="CG14" s="149">
        <f t="shared" si="7"/>
        <v>11191</v>
      </c>
      <c r="CH14" s="149"/>
      <c r="CI14" s="149"/>
      <c r="CJ14" s="149"/>
      <c r="CK14" s="149"/>
      <c r="CL14" s="149"/>
      <c r="CM14" s="149"/>
      <c r="CN14" s="149"/>
      <c r="CO14" s="149"/>
      <c r="CP14" s="149"/>
      <c r="CQ14" s="149"/>
      <c r="CR14" s="149"/>
      <c r="CS14" s="149"/>
      <c r="CT14" s="149">
        <v>1834.4</v>
      </c>
      <c r="CU14" s="149"/>
      <c r="CV14" s="149"/>
      <c r="CW14" s="149"/>
      <c r="CX14" s="149"/>
      <c r="CY14" s="149"/>
      <c r="CZ14" s="149">
        <v>1958.5</v>
      </c>
      <c r="DA14" s="149">
        <v>7398.1</v>
      </c>
      <c r="DB14" s="149"/>
      <c r="DC14" s="120">
        <f t="shared" si="9"/>
        <v>22953.799999999996</v>
      </c>
      <c r="DD14" s="11"/>
      <c r="DE14" s="11"/>
      <c r="DF14" s="11"/>
      <c r="DG14" s="11"/>
      <c r="DH14" s="11"/>
      <c r="DI14" s="11"/>
      <c r="DJ14" s="11"/>
      <c r="DK14" s="11"/>
      <c r="DL14" s="11"/>
      <c r="DM14" s="11"/>
      <c r="DN14" s="11"/>
      <c r="DO14" s="11"/>
      <c r="DP14" s="11">
        <f>1907.8+11652.8</f>
        <v>13560.599999999999</v>
      </c>
      <c r="DQ14" s="11"/>
      <c r="DR14" s="11"/>
      <c r="DS14" s="11"/>
      <c r="DT14" s="11"/>
      <c r="DU14" s="11"/>
      <c r="DV14" s="11">
        <v>1789.3</v>
      </c>
      <c r="DW14" s="11">
        <v>7603.9</v>
      </c>
      <c r="DX14" s="11"/>
    </row>
    <row r="15" spans="1:128" ht="94.5" customHeight="1" x14ac:dyDescent="0.2">
      <c r="A15" s="86" t="s">
        <v>323</v>
      </c>
      <c r="B15" s="74">
        <v>2511</v>
      </c>
      <c r="C15" s="21" t="s">
        <v>56</v>
      </c>
      <c r="D15" s="21" t="s">
        <v>59</v>
      </c>
      <c r="E15" s="21" t="s">
        <v>154</v>
      </c>
      <c r="F15" s="22" t="s">
        <v>65</v>
      </c>
      <c r="G15" s="22" t="s">
        <v>63</v>
      </c>
      <c r="H15" s="22" t="s">
        <v>66</v>
      </c>
      <c r="I15" s="22" t="s">
        <v>189</v>
      </c>
      <c r="J15" s="22" t="s">
        <v>63</v>
      </c>
      <c r="K15" s="22" t="s">
        <v>190</v>
      </c>
      <c r="L15" s="17" t="s">
        <v>24</v>
      </c>
      <c r="M15" s="17" t="s">
        <v>39</v>
      </c>
      <c r="N15" s="149">
        <f t="shared" si="24"/>
        <v>3173.9</v>
      </c>
      <c r="O15" s="149"/>
      <c r="P15" s="149"/>
      <c r="Q15" s="149"/>
      <c r="R15" s="149"/>
      <c r="S15" s="149"/>
      <c r="T15" s="149"/>
      <c r="U15" s="149"/>
      <c r="V15" s="149"/>
      <c r="W15" s="149"/>
      <c r="X15" s="149">
        <v>3173.9</v>
      </c>
      <c r="Y15" s="149"/>
      <c r="Z15" s="149"/>
      <c r="AA15" s="149"/>
      <c r="AB15" s="149"/>
      <c r="AC15" s="149"/>
      <c r="AD15" s="149"/>
      <c r="AE15" s="149"/>
      <c r="AF15" s="149"/>
      <c r="AG15" s="149"/>
      <c r="AH15" s="149"/>
      <c r="AI15" s="149"/>
      <c r="AJ15" s="149"/>
      <c r="AK15" s="149"/>
      <c r="AL15" s="149">
        <f t="shared" si="22"/>
        <v>3168.3</v>
      </c>
      <c r="AM15" s="149"/>
      <c r="AN15" s="149"/>
      <c r="AO15" s="149"/>
      <c r="AP15" s="149"/>
      <c r="AQ15" s="149"/>
      <c r="AR15" s="149"/>
      <c r="AS15" s="149"/>
      <c r="AT15" s="149"/>
      <c r="AU15" s="149"/>
      <c r="AV15" s="149">
        <v>3168.3</v>
      </c>
      <c r="AW15" s="149"/>
      <c r="AX15" s="149"/>
      <c r="AY15" s="149"/>
      <c r="AZ15" s="149"/>
      <c r="BA15" s="149"/>
      <c r="BB15" s="149"/>
      <c r="BC15" s="149"/>
      <c r="BD15" s="149"/>
      <c r="BE15" s="149"/>
      <c r="BF15" s="149"/>
      <c r="BG15" s="149"/>
      <c r="BH15" s="149"/>
      <c r="BI15" s="149"/>
      <c r="BJ15" s="149">
        <f t="shared" si="23"/>
        <v>3367.5</v>
      </c>
      <c r="BK15" s="149"/>
      <c r="BL15" s="149"/>
      <c r="BM15" s="149"/>
      <c r="BN15" s="149"/>
      <c r="BO15" s="149"/>
      <c r="BP15" s="149"/>
      <c r="BQ15" s="149"/>
      <c r="BR15" s="149"/>
      <c r="BS15" s="149"/>
      <c r="BT15" s="149">
        <v>3367.5</v>
      </c>
      <c r="BU15" s="149"/>
      <c r="BV15" s="149"/>
      <c r="BW15" s="149"/>
      <c r="BX15" s="149"/>
      <c r="BY15" s="149"/>
      <c r="BZ15" s="149"/>
      <c r="CA15" s="149"/>
      <c r="CB15" s="149"/>
      <c r="CC15" s="149"/>
      <c r="CD15" s="149"/>
      <c r="CE15" s="149"/>
      <c r="CF15" s="149"/>
      <c r="CG15" s="149">
        <f t="shared" si="7"/>
        <v>3502.2</v>
      </c>
      <c r="CH15" s="149"/>
      <c r="CI15" s="149"/>
      <c r="CJ15" s="149"/>
      <c r="CK15" s="149"/>
      <c r="CL15" s="149"/>
      <c r="CM15" s="149"/>
      <c r="CN15" s="149"/>
      <c r="CO15" s="149"/>
      <c r="CP15" s="149"/>
      <c r="CQ15" s="149">
        <v>3502.2</v>
      </c>
      <c r="CR15" s="149"/>
      <c r="CS15" s="149"/>
      <c r="CT15" s="149"/>
      <c r="CU15" s="149"/>
      <c r="CV15" s="149"/>
      <c r="CW15" s="149"/>
      <c r="CX15" s="149"/>
      <c r="CY15" s="149"/>
      <c r="CZ15" s="149"/>
      <c r="DA15" s="149"/>
      <c r="DB15" s="149"/>
      <c r="DC15" s="120">
        <f t="shared" si="9"/>
        <v>3642.3</v>
      </c>
      <c r="DD15" s="11"/>
      <c r="DE15" s="11"/>
      <c r="DF15" s="11"/>
      <c r="DG15" s="11"/>
      <c r="DH15" s="11"/>
      <c r="DI15" s="11"/>
      <c r="DJ15" s="11"/>
      <c r="DK15" s="11"/>
      <c r="DL15" s="11"/>
      <c r="DM15" s="11">
        <v>3642.3</v>
      </c>
      <c r="DN15" s="11"/>
      <c r="DO15" s="11"/>
      <c r="DP15" s="11"/>
      <c r="DQ15" s="11"/>
      <c r="DR15" s="11"/>
      <c r="DS15" s="11"/>
      <c r="DT15" s="11"/>
      <c r="DU15" s="11"/>
      <c r="DV15" s="11"/>
      <c r="DW15" s="11"/>
      <c r="DX15" s="11"/>
    </row>
    <row r="16" spans="1:128" ht="150" customHeight="1" x14ac:dyDescent="0.2">
      <c r="A16" s="86" t="s">
        <v>324</v>
      </c>
      <c r="B16" s="104">
        <v>2515</v>
      </c>
      <c r="C16" s="21" t="s">
        <v>67</v>
      </c>
      <c r="D16" s="21" t="s">
        <v>68</v>
      </c>
      <c r="E16" s="21" t="s">
        <v>156</v>
      </c>
      <c r="F16" s="41"/>
      <c r="G16" s="41"/>
      <c r="H16" s="41"/>
      <c r="I16" s="41"/>
      <c r="J16" s="41"/>
      <c r="K16" s="41"/>
      <c r="L16" s="17" t="s">
        <v>22</v>
      </c>
      <c r="M16" s="17" t="s">
        <v>35</v>
      </c>
      <c r="N16" s="149">
        <f t="shared" si="24"/>
        <v>592.5</v>
      </c>
      <c r="O16" s="149"/>
      <c r="P16" s="149"/>
      <c r="Q16" s="149"/>
      <c r="R16" s="149"/>
      <c r="S16" s="149"/>
      <c r="T16" s="149"/>
      <c r="U16" s="149"/>
      <c r="V16" s="149">
        <f>592.5</f>
        <v>592.5</v>
      </c>
      <c r="W16" s="149"/>
      <c r="X16" s="149"/>
      <c r="Y16" s="149"/>
      <c r="Z16" s="149"/>
      <c r="AA16" s="149"/>
      <c r="AB16" s="149"/>
      <c r="AC16" s="149"/>
      <c r="AD16" s="149"/>
      <c r="AE16" s="149"/>
      <c r="AF16" s="149"/>
      <c r="AG16" s="149"/>
      <c r="AH16" s="149"/>
      <c r="AI16" s="149"/>
      <c r="AJ16" s="149"/>
      <c r="AK16" s="149"/>
      <c r="AL16" s="149">
        <f t="shared" si="22"/>
        <v>529.9</v>
      </c>
      <c r="AM16" s="149"/>
      <c r="AN16" s="149"/>
      <c r="AO16" s="149"/>
      <c r="AP16" s="149"/>
      <c r="AQ16" s="149"/>
      <c r="AR16" s="149"/>
      <c r="AS16" s="149"/>
      <c r="AT16" s="149">
        <f>529.9</f>
        <v>529.9</v>
      </c>
      <c r="AU16" s="149"/>
      <c r="AV16" s="149"/>
      <c r="AW16" s="149"/>
      <c r="AX16" s="149"/>
      <c r="AY16" s="149"/>
      <c r="AZ16" s="149"/>
      <c r="BA16" s="149"/>
      <c r="BB16" s="149"/>
      <c r="BC16" s="149"/>
      <c r="BD16" s="149"/>
      <c r="BE16" s="149"/>
      <c r="BF16" s="149"/>
      <c r="BG16" s="149"/>
      <c r="BH16" s="149"/>
      <c r="BI16" s="149"/>
      <c r="BJ16" s="149">
        <f t="shared" si="23"/>
        <v>613.20000000000005</v>
      </c>
      <c r="BK16" s="149"/>
      <c r="BL16" s="149"/>
      <c r="BM16" s="149"/>
      <c r="BN16" s="149"/>
      <c r="BO16" s="149"/>
      <c r="BP16" s="149"/>
      <c r="BQ16" s="149"/>
      <c r="BR16" s="149">
        <f>562+31.2+20</f>
        <v>613.20000000000005</v>
      </c>
      <c r="BS16" s="149"/>
      <c r="BT16" s="149"/>
      <c r="BU16" s="149"/>
      <c r="BV16" s="149"/>
      <c r="BW16" s="149"/>
      <c r="BX16" s="149"/>
      <c r="BY16" s="149"/>
      <c r="BZ16" s="149"/>
      <c r="CA16" s="149"/>
      <c r="CB16" s="149"/>
      <c r="CC16" s="149"/>
      <c r="CD16" s="149"/>
      <c r="CE16" s="149"/>
      <c r="CF16" s="149"/>
      <c r="CG16" s="149">
        <f t="shared" si="7"/>
        <v>637.6</v>
      </c>
      <c r="CH16" s="149"/>
      <c r="CI16" s="149"/>
      <c r="CJ16" s="149"/>
      <c r="CK16" s="149"/>
      <c r="CL16" s="149"/>
      <c r="CM16" s="149"/>
      <c r="CN16" s="149"/>
      <c r="CO16" s="149">
        <f>584.5+32.4+20.7</f>
        <v>637.6</v>
      </c>
      <c r="CP16" s="149"/>
      <c r="CQ16" s="149"/>
      <c r="CR16" s="149"/>
      <c r="CS16" s="149"/>
      <c r="CT16" s="149"/>
      <c r="CU16" s="149"/>
      <c r="CV16" s="149"/>
      <c r="CW16" s="149"/>
      <c r="CX16" s="149"/>
      <c r="CY16" s="149"/>
      <c r="CZ16" s="149"/>
      <c r="DA16" s="149"/>
      <c r="DB16" s="149"/>
      <c r="DC16" s="120">
        <f t="shared" si="9"/>
        <v>663.2</v>
      </c>
      <c r="DD16" s="11"/>
      <c r="DE16" s="11"/>
      <c r="DF16" s="11"/>
      <c r="DG16" s="11"/>
      <c r="DH16" s="11"/>
      <c r="DI16" s="11"/>
      <c r="DJ16" s="11"/>
      <c r="DK16" s="11">
        <f>607.9+33.7+21.6</f>
        <v>663.2</v>
      </c>
      <c r="DL16" s="11"/>
      <c r="DM16" s="11"/>
      <c r="DN16" s="11"/>
      <c r="DO16" s="11"/>
      <c r="DP16" s="11"/>
      <c r="DQ16" s="11"/>
      <c r="DR16" s="11"/>
      <c r="DS16" s="11"/>
      <c r="DT16" s="11"/>
      <c r="DU16" s="11"/>
      <c r="DV16" s="11"/>
      <c r="DW16" s="11"/>
      <c r="DX16" s="11"/>
    </row>
    <row r="17" spans="1:128" ht="144" x14ac:dyDescent="0.2">
      <c r="A17" s="86" t="s">
        <v>325</v>
      </c>
      <c r="B17" s="104">
        <v>2517</v>
      </c>
      <c r="C17" s="21" t="s">
        <v>70</v>
      </c>
      <c r="D17" s="21" t="s">
        <v>69</v>
      </c>
      <c r="E17" s="21" t="s">
        <v>158</v>
      </c>
      <c r="F17" s="34" t="s">
        <v>138</v>
      </c>
      <c r="G17" s="34" t="s">
        <v>127</v>
      </c>
      <c r="H17" s="34" t="s">
        <v>159</v>
      </c>
      <c r="I17" s="34" t="s">
        <v>193</v>
      </c>
      <c r="J17" s="34" t="s">
        <v>63</v>
      </c>
      <c r="K17" s="34" t="s">
        <v>194</v>
      </c>
      <c r="L17" s="17" t="s">
        <v>152</v>
      </c>
      <c r="M17" s="17" t="s">
        <v>153</v>
      </c>
      <c r="N17" s="149">
        <f t="shared" si="24"/>
        <v>15374.3</v>
      </c>
      <c r="O17" s="149"/>
      <c r="P17" s="149"/>
      <c r="Q17" s="149"/>
      <c r="R17" s="149">
        <f>234.7+164.2</f>
        <v>398.9</v>
      </c>
      <c r="S17" s="149"/>
      <c r="T17" s="149">
        <f>14849.8+5.7+105</f>
        <v>14960.5</v>
      </c>
      <c r="U17" s="149"/>
      <c r="V17" s="149">
        <v>14.9</v>
      </c>
      <c r="W17" s="149"/>
      <c r="X17" s="149"/>
      <c r="Y17" s="149"/>
      <c r="Z17" s="149"/>
      <c r="AA17" s="149"/>
      <c r="AB17" s="149"/>
      <c r="AC17" s="149"/>
      <c r="AD17" s="149"/>
      <c r="AE17" s="149"/>
      <c r="AF17" s="149"/>
      <c r="AG17" s="149"/>
      <c r="AH17" s="149"/>
      <c r="AI17" s="149"/>
      <c r="AJ17" s="149"/>
      <c r="AK17" s="149"/>
      <c r="AL17" s="149">
        <f t="shared" si="22"/>
        <v>15349.9</v>
      </c>
      <c r="AM17" s="149"/>
      <c r="AN17" s="149"/>
      <c r="AO17" s="149"/>
      <c r="AP17" s="149">
        <f>234.7+164.2</f>
        <v>398.9</v>
      </c>
      <c r="AQ17" s="149"/>
      <c r="AR17" s="149">
        <f>14825.6+5.7+104.9</f>
        <v>14936.2</v>
      </c>
      <c r="AS17" s="149"/>
      <c r="AT17" s="149">
        <v>14.8</v>
      </c>
      <c r="AU17" s="149"/>
      <c r="AV17" s="149"/>
      <c r="AW17" s="149"/>
      <c r="AX17" s="149"/>
      <c r="AY17" s="149"/>
      <c r="AZ17" s="149"/>
      <c r="BA17" s="149"/>
      <c r="BB17" s="149"/>
      <c r="BC17" s="149"/>
      <c r="BD17" s="149"/>
      <c r="BE17" s="149"/>
      <c r="BF17" s="149"/>
      <c r="BG17" s="149"/>
      <c r="BH17" s="149"/>
      <c r="BI17" s="149"/>
      <c r="BJ17" s="149">
        <f t="shared" si="23"/>
        <v>16118.2</v>
      </c>
      <c r="BK17" s="149"/>
      <c r="BL17" s="149"/>
      <c r="BM17" s="149"/>
      <c r="BN17" s="149"/>
      <c r="BO17" s="149"/>
      <c r="BP17" s="149">
        <v>16118.2</v>
      </c>
      <c r="BQ17" s="149"/>
      <c r="BR17" s="149">
        <v>0</v>
      </c>
      <c r="BS17" s="149"/>
      <c r="BT17" s="149"/>
      <c r="BU17" s="149"/>
      <c r="BV17" s="149"/>
      <c r="BW17" s="149"/>
      <c r="BX17" s="149"/>
      <c r="BY17" s="149"/>
      <c r="BZ17" s="149"/>
      <c r="CA17" s="149"/>
      <c r="CB17" s="149"/>
      <c r="CC17" s="149"/>
      <c r="CD17" s="149"/>
      <c r="CE17" s="149"/>
      <c r="CF17" s="149"/>
      <c r="CG17" s="149">
        <f t="shared" si="7"/>
        <v>16129.7</v>
      </c>
      <c r="CH17" s="149"/>
      <c r="CI17" s="149"/>
      <c r="CJ17" s="149"/>
      <c r="CK17" s="149"/>
      <c r="CL17" s="149"/>
      <c r="CM17" s="149">
        <v>16129.7</v>
      </c>
      <c r="CN17" s="149"/>
      <c r="CO17" s="149">
        <v>0</v>
      </c>
      <c r="CP17" s="149"/>
      <c r="CQ17" s="149"/>
      <c r="CR17" s="149"/>
      <c r="CS17" s="149"/>
      <c r="CT17" s="149"/>
      <c r="CU17" s="149"/>
      <c r="CV17" s="149"/>
      <c r="CW17" s="149"/>
      <c r="CX17" s="149"/>
      <c r="CY17" s="149"/>
      <c r="CZ17" s="149"/>
      <c r="DA17" s="149"/>
      <c r="DB17" s="149"/>
      <c r="DC17" s="120">
        <f t="shared" si="9"/>
        <v>16141.8</v>
      </c>
      <c r="DD17" s="11"/>
      <c r="DE17" s="11"/>
      <c r="DF17" s="11"/>
      <c r="DG17" s="11"/>
      <c r="DH17" s="11"/>
      <c r="DI17" s="11">
        <v>16141.8</v>
      </c>
      <c r="DJ17" s="11"/>
      <c r="DK17" s="11">
        <v>0</v>
      </c>
      <c r="DL17" s="11"/>
      <c r="DM17" s="11"/>
      <c r="DN17" s="11"/>
      <c r="DO17" s="11"/>
      <c r="DP17" s="11"/>
      <c r="DQ17" s="11"/>
      <c r="DR17" s="11"/>
      <c r="DS17" s="11"/>
      <c r="DT17" s="11"/>
      <c r="DU17" s="11"/>
      <c r="DV17" s="11"/>
      <c r="DW17" s="11"/>
      <c r="DX17" s="11"/>
    </row>
    <row r="18" spans="1:128" ht="22.5" x14ac:dyDescent="0.2">
      <c r="A18" s="86" t="s">
        <v>326</v>
      </c>
      <c r="B18" s="104">
        <v>2520</v>
      </c>
      <c r="C18" s="21"/>
      <c r="D18" s="21"/>
      <c r="E18" s="21"/>
      <c r="F18" s="34"/>
      <c r="G18" s="34"/>
      <c r="H18" s="34"/>
      <c r="I18" s="34"/>
      <c r="J18" s="34"/>
      <c r="K18" s="34"/>
      <c r="L18" s="17"/>
      <c r="M18" s="17"/>
      <c r="N18" s="149">
        <f t="shared" si="24"/>
        <v>3922.7</v>
      </c>
      <c r="O18" s="149"/>
      <c r="P18" s="149"/>
      <c r="Q18" s="149"/>
      <c r="R18" s="149"/>
      <c r="S18" s="149"/>
      <c r="T18" s="149"/>
      <c r="U18" s="149">
        <v>3922.7</v>
      </c>
      <c r="V18" s="149"/>
      <c r="W18" s="149"/>
      <c r="X18" s="149"/>
      <c r="Y18" s="149"/>
      <c r="Z18" s="149"/>
      <c r="AA18" s="149"/>
      <c r="AB18" s="149"/>
      <c r="AC18" s="149"/>
      <c r="AD18" s="149"/>
      <c r="AE18" s="149"/>
      <c r="AF18" s="149"/>
      <c r="AG18" s="149"/>
      <c r="AH18" s="149"/>
      <c r="AI18" s="149"/>
      <c r="AJ18" s="149"/>
      <c r="AK18" s="149"/>
      <c r="AL18" s="149">
        <f t="shared" si="22"/>
        <v>3922.2</v>
      </c>
      <c r="AM18" s="149"/>
      <c r="AN18" s="149"/>
      <c r="AO18" s="149"/>
      <c r="AP18" s="149"/>
      <c r="AQ18" s="149"/>
      <c r="AR18" s="149"/>
      <c r="AS18" s="149">
        <v>3922.2</v>
      </c>
      <c r="AT18" s="149"/>
      <c r="AU18" s="149"/>
      <c r="AV18" s="149"/>
      <c r="AW18" s="149"/>
      <c r="AX18" s="149"/>
      <c r="AY18" s="149"/>
      <c r="AZ18" s="149"/>
      <c r="BA18" s="149"/>
      <c r="BB18" s="149"/>
      <c r="BC18" s="149"/>
      <c r="BD18" s="149"/>
      <c r="BE18" s="149"/>
      <c r="BF18" s="149"/>
      <c r="BG18" s="149"/>
      <c r="BH18" s="149"/>
      <c r="BI18" s="149"/>
      <c r="BJ18" s="149">
        <f t="shared" si="23"/>
        <v>4414.3999999999996</v>
      </c>
      <c r="BK18" s="149"/>
      <c r="BL18" s="149"/>
      <c r="BM18" s="149"/>
      <c r="BN18" s="149"/>
      <c r="BO18" s="149"/>
      <c r="BP18" s="149"/>
      <c r="BQ18" s="149">
        <v>4414.3999999999996</v>
      </c>
      <c r="BR18" s="149"/>
      <c r="BS18" s="149"/>
      <c r="BT18" s="149"/>
      <c r="BU18" s="149"/>
      <c r="BV18" s="149"/>
      <c r="BW18" s="149"/>
      <c r="BX18" s="149"/>
      <c r="BY18" s="149"/>
      <c r="BZ18" s="149"/>
      <c r="CA18" s="149"/>
      <c r="CB18" s="149"/>
      <c r="CC18" s="149"/>
      <c r="CD18" s="149"/>
      <c r="CE18" s="149"/>
      <c r="CF18" s="149"/>
      <c r="CG18" s="149">
        <f t="shared" si="7"/>
        <v>3980.8</v>
      </c>
      <c r="CH18" s="149"/>
      <c r="CI18" s="149"/>
      <c r="CJ18" s="149"/>
      <c r="CK18" s="149"/>
      <c r="CL18" s="149"/>
      <c r="CM18" s="149"/>
      <c r="CN18" s="149">
        <v>3980.8</v>
      </c>
      <c r="CO18" s="149"/>
      <c r="CP18" s="149"/>
      <c r="CQ18" s="149"/>
      <c r="CR18" s="149"/>
      <c r="CS18" s="149"/>
      <c r="CT18" s="149"/>
      <c r="CU18" s="149"/>
      <c r="CV18" s="149"/>
      <c r="CW18" s="149"/>
      <c r="CX18" s="149"/>
      <c r="CY18" s="149"/>
      <c r="CZ18" s="149"/>
      <c r="DA18" s="149"/>
      <c r="DB18" s="149"/>
      <c r="DC18" s="120">
        <f t="shared" si="9"/>
        <v>4041.9</v>
      </c>
      <c r="DD18" s="11"/>
      <c r="DE18" s="11"/>
      <c r="DF18" s="11"/>
      <c r="DG18" s="11"/>
      <c r="DH18" s="11"/>
      <c r="DI18" s="11"/>
      <c r="DJ18" s="11">
        <v>4041.9</v>
      </c>
      <c r="DK18" s="11"/>
      <c r="DL18" s="11"/>
      <c r="DM18" s="11"/>
      <c r="DN18" s="11"/>
      <c r="DO18" s="11"/>
      <c r="DP18" s="11"/>
      <c r="DQ18" s="11"/>
      <c r="DR18" s="11"/>
      <c r="DS18" s="11"/>
      <c r="DT18" s="11"/>
      <c r="DU18" s="11"/>
      <c r="DV18" s="11"/>
      <c r="DW18" s="11"/>
      <c r="DX18" s="11"/>
    </row>
    <row r="19" spans="1:128" ht="96" x14ac:dyDescent="0.2">
      <c r="A19" s="86" t="s">
        <v>327</v>
      </c>
      <c r="B19" s="104">
        <v>2521</v>
      </c>
      <c r="C19" s="21" t="s">
        <v>71</v>
      </c>
      <c r="D19" s="21" t="s">
        <v>72</v>
      </c>
      <c r="E19" s="21" t="s">
        <v>160</v>
      </c>
      <c r="F19" s="21" t="s">
        <v>73</v>
      </c>
      <c r="G19" s="21" t="s">
        <v>74</v>
      </c>
      <c r="H19" s="21" t="s">
        <v>161</v>
      </c>
      <c r="I19" s="21" t="s">
        <v>195</v>
      </c>
      <c r="J19" s="21" t="s">
        <v>63</v>
      </c>
      <c r="K19" s="35" t="s">
        <v>197</v>
      </c>
      <c r="L19" s="17" t="s">
        <v>26</v>
      </c>
      <c r="M19" s="17" t="s">
        <v>37</v>
      </c>
      <c r="N19" s="149">
        <f t="shared" si="24"/>
        <v>0</v>
      </c>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f t="shared" si="22"/>
        <v>0</v>
      </c>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f t="shared" si="23"/>
        <v>0</v>
      </c>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f t="shared" si="7"/>
        <v>0</v>
      </c>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20">
        <f t="shared" si="9"/>
        <v>0</v>
      </c>
      <c r="DD19" s="11"/>
      <c r="DE19" s="11"/>
      <c r="DF19" s="11"/>
      <c r="DG19" s="11"/>
      <c r="DH19" s="11"/>
      <c r="DI19" s="11"/>
      <c r="DJ19" s="11"/>
      <c r="DK19" s="11"/>
      <c r="DL19" s="11"/>
      <c r="DM19" s="11"/>
      <c r="DN19" s="11"/>
      <c r="DO19" s="11"/>
      <c r="DP19" s="11"/>
      <c r="DQ19" s="11"/>
      <c r="DR19" s="11"/>
      <c r="DS19" s="11"/>
      <c r="DT19" s="11"/>
      <c r="DU19" s="11"/>
      <c r="DV19" s="11"/>
      <c r="DW19" s="11"/>
      <c r="DX19" s="11"/>
    </row>
    <row r="20" spans="1:128" ht="152.25" customHeight="1" x14ac:dyDescent="0.2">
      <c r="A20" s="86" t="s">
        <v>328</v>
      </c>
      <c r="B20" s="74">
        <v>2522</v>
      </c>
      <c r="C20" s="21" t="s">
        <v>75</v>
      </c>
      <c r="D20" s="21" t="s">
        <v>76</v>
      </c>
      <c r="E20" s="21" t="s">
        <v>162</v>
      </c>
      <c r="F20" s="21" t="s">
        <v>77</v>
      </c>
      <c r="G20" s="21" t="s">
        <v>78</v>
      </c>
      <c r="H20" s="21" t="s">
        <v>79</v>
      </c>
      <c r="I20" s="21" t="s">
        <v>221</v>
      </c>
      <c r="J20" s="21" t="s">
        <v>188</v>
      </c>
      <c r="K20" s="21" t="s">
        <v>222</v>
      </c>
      <c r="L20" s="17" t="s">
        <v>27</v>
      </c>
      <c r="M20" s="23" t="s">
        <v>147</v>
      </c>
      <c r="N20" s="149">
        <f t="shared" si="24"/>
        <v>0</v>
      </c>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f t="shared" si="22"/>
        <v>0</v>
      </c>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f t="shared" si="23"/>
        <v>0</v>
      </c>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f t="shared" si="7"/>
        <v>0</v>
      </c>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20">
        <f t="shared" si="9"/>
        <v>0</v>
      </c>
      <c r="DD20" s="11"/>
      <c r="DE20" s="11"/>
      <c r="DF20" s="11"/>
      <c r="DG20" s="11"/>
      <c r="DH20" s="11"/>
      <c r="DI20" s="11"/>
      <c r="DJ20" s="11"/>
      <c r="DK20" s="11"/>
      <c r="DL20" s="11"/>
      <c r="DM20" s="11"/>
      <c r="DN20" s="11"/>
      <c r="DO20" s="11"/>
      <c r="DP20" s="11"/>
      <c r="DQ20" s="11"/>
      <c r="DR20" s="11"/>
      <c r="DS20" s="11"/>
      <c r="DT20" s="11"/>
      <c r="DU20" s="11"/>
      <c r="DV20" s="11"/>
      <c r="DW20" s="11"/>
      <c r="DX20" s="11"/>
    </row>
    <row r="21" spans="1:128" ht="101.25" x14ac:dyDescent="0.2">
      <c r="A21" s="86" t="s">
        <v>329</v>
      </c>
      <c r="B21" s="74">
        <v>2524</v>
      </c>
      <c r="C21" s="21"/>
      <c r="D21" s="21"/>
      <c r="E21" s="21"/>
      <c r="F21" s="21"/>
      <c r="G21" s="21"/>
      <c r="H21" s="21"/>
      <c r="I21" s="21"/>
      <c r="J21" s="21"/>
      <c r="K21" s="21"/>
      <c r="L21" s="17"/>
      <c r="M21" s="23"/>
      <c r="N21" s="149">
        <f t="shared" si="24"/>
        <v>64500.700000000004</v>
      </c>
      <c r="O21" s="149"/>
      <c r="P21" s="149"/>
      <c r="Q21" s="149"/>
      <c r="R21" s="149">
        <v>158.80000000000001</v>
      </c>
      <c r="S21" s="149"/>
      <c r="T21" s="149"/>
      <c r="U21" s="149"/>
      <c r="V21" s="149"/>
      <c r="W21" s="149"/>
      <c r="X21" s="149"/>
      <c r="Y21" s="149"/>
      <c r="Z21" s="149"/>
      <c r="AA21" s="149"/>
      <c r="AB21" s="149"/>
      <c r="AC21" s="149"/>
      <c r="AD21" s="149"/>
      <c r="AE21" s="149">
        <f>62036.7+271+1150.4+590+293.8</f>
        <v>64341.9</v>
      </c>
      <c r="AF21" s="149"/>
      <c r="AG21" s="149"/>
      <c r="AH21" s="149">
        <v>0</v>
      </c>
      <c r="AI21" s="149"/>
      <c r="AJ21" s="149"/>
      <c r="AK21" s="149"/>
      <c r="AL21" s="149">
        <f t="shared" si="22"/>
        <v>16545.5</v>
      </c>
      <c r="AM21" s="149"/>
      <c r="AN21" s="149"/>
      <c r="AO21" s="149"/>
      <c r="AP21" s="149">
        <v>0</v>
      </c>
      <c r="AQ21" s="149"/>
      <c r="AR21" s="149"/>
      <c r="AS21" s="149"/>
      <c r="AT21" s="149"/>
      <c r="AU21" s="149"/>
      <c r="AV21" s="149"/>
      <c r="AW21" s="149"/>
      <c r="AX21" s="149"/>
      <c r="AY21" s="149"/>
      <c r="AZ21" s="149"/>
      <c r="BA21" s="149"/>
      <c r="BB21" s="149"/>
      <c r="BC21" s="149">
        <f>15036+1509.5</f>
        <v>16545.5</v>
      </c>
      <c r="BD21" s="149"/>
      <c r="BE21" s="149"/>
      <c r="BF21" s="149">
        <v>0</v>
      </c>
      <c r="BG21" s="149"/>
      <c r="BH21" s="149"/>
      <c r="BI21" s="149"/>
      <c r="BJ21" s="149">
        <f t="shared" si="23"/>
        <v>72008.100000000006</v>
      </c>
      <c r="BK21" s="149"/>
      <c r="BL21" s="149"/>
      <c r="BM21" s="149"/>
      <c r="BN21" s="149">
        <v>0</v>
      </c>
      <c r="BO21" s="149"/>
      <c r="BP21" s="149"/>
      <c r="BQ21" s="149"/>
      <c r="BR21" s="149"/>
      <c r="BS21" s="149"/>
      <c r="BT21" s="149"/>
      <c r="BU21" s="149"/>
      <c r="BV21" s="149"/>
      <c r="BW21" s="149"/>
      <c r="BX21" s="149"/>
      <c r="BY21" s="149"/>
      <c r="BZ21" s="149"/>
      <c r="CA21" s="149">
        <v>72008.100000000006</v>
      </c>
      <c r="CB21" s="149"/>
      <c r="CC21" s="149">
        <v>0</v>
      </c>
      <c r="CD21" s="149"/>
      <c r="CE21" s="149"/>
      <c r="CF21" s="149"/>
      <c r="CG21" s="149">
        <f t="shared" si="7"/>
        <v>14459.5</v>
      </c>
      <c r="CH21" s="149"/>
      <c r="CI21" s="149"/>
      <c r="CJ21" s="149"/>
      <c r="CK21" s="149">
        <v>0</v>
      </c>
      <c r="CL21" s="149"/>
      <c r="CM21" s="149"/>
      <c r="CN21" s="149"/>
      <c r="CO21" s="149"/>
      <c r="CP21" s="149"/>
      <c r="CQ21" s="149"/>
      <c r="CR21" s="149"/>
      <c r="CS21" s="149"/>
      <c r="CT21" s="149"/>
      <c r="CU21" s="149"/>
      <c r="CV21" s="149"/>
      <c r="CW21" s="149"/>
      <c r="CX21" s="149">
        <v>14459.5</v>
      </c>
      <c r="CY21" s="149"/>
      <c r="CZ21" s="149">
        <v>0</v>
      </c>
      <c r="DA21" s="149"/>
      <c r="DB21" s="149"/>
      <c r="DC21" s="120">
        <f t="shared" si="9"/>
        <v>54760</v>
      </c>
      <c r="DD21" s="11"/>
      <c r="DE21" s="11"/>
      <c r="DF21" s="11"/>
      <c r="DG21" s="11">
        <v>0</v>
      </c>
      <c r="DH21" s="11"/>
      <c r="DI21" s="11"/>
      <c r="DJ21" s="11"/>
      <c r="DK21" s="11"/>
      <c r="DL21" s="11"/>
      <c r="DM21" s="11"/>
      <c r="DN21" s="11"/>
      <c r="DO21" s="11"/>
      <c r="DP21" s="11"/>
      <c r="DQ21" s="11"/>
      <c r="DR21" s="11"/>
      <c r="DS21" s="11"/>
      <c r="DT21" s="11">
        <v>54760</v>
      </c>
      <c r="DU21" s="11"/>
      <c r="DV21" s="11"/>
      <c r="DW21" s="11"/>
      <c r="DX21" s="11"/>
    </row>
    <row r="22" spans="1:128" ht="67.5" x14ac:dyDescent="0.2">
      <c r="A22" s="86" t="s">
        <v>330</v>
      </c>
      <c r="B22" s="74">
        <v>2525</v>
      </c>
      <c r="C22" s="21"/>
      <c r="D22" s="21"/>
      <c r="E22" s="21"/>
      <c r="F22" s="21"/>
      <c r="G22" s="21"/>
      <c r="H22" s="21"/>
      <c r="I22" s="21"/>
      <c r="J22" s="21"/>
      <c r="K22" s="21"/>
      <c r="L22" s="17"/>
      <c r="M22" s="23"/>
      <c r="N22" s="149">
        <f t="shared" si="24"/>
        <v>0</v>
      </c>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f t="shared" si="22"/>
        <v>0</v>
      </c>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f t="shared" si="23"/>
        <v>0</v>
      </c>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f t="shared" si="7"/>
        <v>0</v>
      </c>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20">
        <f t="shared" si="9"/>
        <v>0</v>
      </c>
      <c r="DD22" s="11"/>
      <c r="DE22" s="11"/>
      <c r="DF22" s="11"/>
      <c r="DG22" s="11"/>
      <c r="DH22" s="11"/>
      <c r="DI22" s="11"/>
      <c r="DJ22" s="11"/>
      <c r="DK22" s="11"/>
      <c r="DL22" s="11"/>
      <c r="DM22" s="11"/>
      <c r="DN22" s="11"/>
      <c r="DO22" s="11"/>
      <c r="DP22" s="11"/>
      <c r="DQ22" s="11"/>
      <c r="DR22" s="11"/>
      <c r="DS22" s="11"/>
      <c r="DT22" s="11"/>
      <c r="DU22" s="11"/>
      <c r="DV22" s="11"/>
      <c r="DW22" s="11"/>
      <c r="DX22" s="11"/>
    </row>
    <row r="23" spans="1:128" ht="45" x14ac:dyDescent="0.2">
      <c r="A23" s="86" t="s">
        <v>331</v>
      </c>
      <c r="B23" s="74">
        <v>2526</v>
      </c>
      <c r="C23" s="21"/>
      <c r="D23" s="21"/>
      <c r="E23" s="21"/>
      <c r="F23" s="21"/>
      <c r="G23" s="21"/>
      <c r="H23" s="21"/>
      <c r="I23" s="21"/>
      <c r="J23" s="21"/>
      <c r="K23" s="21"/>
      <c r="L23" s="17"/>
      <c r="M23" s="23"/>
      <c r="N23" s="149">
        <f t="shared" si="24"/>
        <v>0</v>
      </c>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f t="shared" si="22"/>
        <v>0</v>
      </c>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f t="shared" si="23"/>
        <v>0</v>
      </c>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f t="shared" si="7"/>
        <v>0</v>
      </c>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20">
        <f t="shared" si="9"/>
        <v>0</v>
      </c>
      <c r="DD23" s="11"/>
      <c r="DE23" s="11"/>
      <c r="DF23" s="11"/>
      <c r="DG23" s="11"/>
      <c r="DH23" s="11"/>
      <c r="DI23" s="11"/>
      <c r="DJ23" s="11"/>
      <c r="DK23" s="11"/>
      <c r="DL23" s="11"/>
      <c r="DM23" s="11"/>
      <c r="DN23" s="11"/>
      <c r="DO23" s="11"/>
      <c r="DP23" s="11"/>
      <c r="DQ23" s="11"/>
      <c r="DR23" s="11"/>
      <c r="DS23" s="11"/>
      <c r="DT23" s="11"/>
      <c r="DU23" s="11"/>
      <c r="DV23" s="11"/>
      <c r="DW23" s="11"/>
      <c r="DX23" s="11"/>
    </row>
    <row r="24" spans="1:128" ht="146.25" x14ac:dyDescent="0.2">
      <c r="A24" s="86" t="s">
        <v>332</v>
      </c>
      <c r="B24" s="104">
        <v>2528</v>
      </c>
      <c r="C24" s="21" t="s">
        <v>81</v>
      </c>
      <c r="D24" s="21" t="s">
        <v>80</v>
      </c>
      <c r="E24" s="21" t="s">
        <v>163</v>
      </c>
      <c r="F24" s="41"/>
      <c r="G24" s="41"/>
      <c r="H24" s="41"/>
      <c r="I24" s="21" t="s">
        <v>198</v>
      </c>
      <c r="J24" s="36" t="s">
        <v>63</v>
      </c>
      <c r="K24" s="21" t="s">
        <v>196</v>
      </c>
      <c r="L24" s="17" t="s">
        <v>20</v>
      </c>
      <c r="M24" s="17" t="s">
        <v>29</v>
      </c>
      <c r="N24" s="149">
        <f t="shared" si="24"/>
        <v>2055.1</v>
      </c>
      <c r="O24" s="149"/>
      <c r="P24" s="149"/>
      <c r="Q24" s="149"/>
      <c r="R24" s="149">
        <v>0</v>
      </c>
      <c r="S24" s="149"/>
      <c r="T24" s="149"/>
      <c r="U24" s="149"/>
      <c r="V24" s="149"/>
      <c r="W24" s="149"/>
      <c r="X24" s="149"/>
      <c r="Y24" s="149"/>
      <c r="Z24" s="149"/>
      <c r="AA24" s="149"/>
      <c r="AB24" s="149"/>
      <c r="AC24" s="149"/>
      <c r="AD24" s="149"/>
      <c r="AE24" s="149"/>
      <c r="AF24" s="149">
        <v>2055.1</v>
      </c>
      <c r="AG24" s="149"/>
      <c r="AH24" s="149"/>
      <c r="AI24" s="149"/>
      <c r="AJ24" s="149"/>
      <c r="AK24" s="149"/>
      <c r="AL24" s="149">
        <f t="shared" si="22"/>
        <v>1778</v>
      </c>
      <c r="AM24" s="149"/>
      <c r="AN24" s="149"/>
      <c r="AO24" s="149"/>
      <c r="AP24" s="149">
        <v>0</v>
      </c>
      <c r="AQ24" s="149"/>
      <c r="AR24" s="149"/>
      <c r="AS24" s="149"/>
      <c r="AT24" s="149"/>
      <c r="AU24" s="149"/>
      <c r="AV24" s="149"/>
      <c r="AW24" s="149"/>
      <c r="AX24" s="149"/>
      <c r="AY24" s="149"/>
      <c r="AZ24" s="149"/>
      <c r="BA24" s="149"/>
      <c r="BB24" s="149"/>
      <c r="BC24" s="149"/>
      <c r="BD24" s="149">
        <v>1778</v>
      </c>
      <c r="BE24" s="149"/>
      <c r="BF24" s="149"/>
      <c r="BG24" s="149"/>
      <c r="BH24" s="149"/>
      <c r="BI24" s="149"/>
      <c r="BJ24" s="149">
        <f t="shared" si="23"/>
        <v>0</v>
      </c>
      <c r="BK24" s="149"/>
      <c r="BL24" s="149"/>
      <c r="BM24" s="149"/>
      <c r="BN24" s="149">
        <v>0</v>
      </c>
      <c r="BO24" s="149"/>
      <c r="BP24" s="149"/>
      <c r="BQ24" s="149"/>
      <c r="BR24" s="149"/>
      <c r="BS24" s="149"/>
      <c r="BT24" s="149"/>
      <c r="BU24" s="149"/>
      <c r="BV24" s="149"/>
      <c r="BW24" s="149"/>
      <c r="BX24" s="149"/>
      <c r="BY24" s="149"/>
      <c r="BZ24" s="149"/>
      <c r="CA24" s="149"/>
      <c r="CB24" s="149"/>
      <c r="CC24" s="149"/>
      <c r="CD24" s="149"/>
      <c r="CE24" s="149"/>
      <c r="CF24" s="149"/>
      <c r="CG24" s="149">
        <f t="shared" si="7"/>
        <v>0</v>
      </c>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20">
        <f t="shared" si="9"/>
        <v>0</v>
      </c>
      <c r="DD24" s="11"/>
      <c r="DE24" s="11"/>
      <c r="DF24" s="11"/>
      <c r="DG24" s="11"/>
      <c r="DH24" s="11"/>
      <c r="DI24" s="11"/>
      <c r="DJ24" s="11"/>
      <c r="DK24" s="11"/>
      <c r="DL24" s="11"/>
      <c r="DM24" s="11"/>
      <c r="DN24" s="11"/>
      <c r="DO24" s="11"/>
      <c r="DP24" s="11"/>
      <c r="DQ24" s="11"/>
      <c r="DR24" s="11"/>
      <c r="DS24" s="11"/>
      <c r="DT24" s="11"/>
      <c r="DU24" s="11"/>
      <c r="DV24" s="11"/>
      <c r="DW24" s="11"/>
      <c r="DX24" s="11"/>
    </row>
    <row r="25" spans="1:128" ht="100.5" customHeight="1" x14ac:dyDescent="0.2">
      <c r="A25" s="86" t="s">
        <v>333</v>
      </c>
      <c r="B25" s="74">
        <v>2530</v>
      </c>
      <c r="C25" s="21" t="s">
        <v>89</v>
      </c>
      <c r="D25" s="21" t="s">
        <v>90</v>
      </c>
      <c r="E25" s="21" t="s">
        <v>166</v>
      </c>
      <c r="F25" s="21" t="s">
        <v>91</v>
      </c>
      <c r="G25" s="21" t="s">
        <v>92</v>
      </c>
      <c r="H25" s="21" t="s">
        <v>167</v>
      </c>
      <c r="I25" s="21" t="s">
        <v>200</v>
      </c>
      <c r="J25" s="21" t="s">
        <v>188</v>
      </c>
      <c r="K25" s="21" t="s">
        <v>201</v>
      </c>
      <c r="L25" s="17" t="s">
        <v>39</v>
      </c>
      <c r="M25" s="17" t="s">
        <v>20</v>
      </c>
      <c r="N25" s="149">
        <f t="shared" si="24"/>
        <v>0</v>
      </c>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f t="shared" si="22"/>
        <v>0</v>
      </c>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f t="shared" si="23"/>
        <v>0</v>
      </c>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f t="shared" si="7"/>
        <v>0</v>
      </c>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20">
        <f t="shared" si="9"/>
        <v>0</v>
      </c>
      <c r="DD25" s="11"/>
      <c r="DE25" s="11"/>
      <c r="DF25" s="11"/>
      <c r="DG25" s="11"/>
      <c r="DH25" s="11"/>
      <c r="DI25" s="11"/>
      <c r="DJ25" s="11"/>
      <c r="DK25" s="11"/>
      <c r="DL25" s="11"/>
      <c r="DM25" s="11"/>
      <c r="DN25" s="11"/>
      <c r="DO25" s="11"/>
      <c r="DP25" s="11"/>
      <c r="DQ25" s="11"/>
      <c r="DR25" s="11"/>
      <c r="DS25" s="11"/>
      <c r="DT25" s="11"/>
      <c r="DU25" s="11"/>
      <c r="DV25" s="11"/>
      <c r="DW25" s="11"/>
      <c r="DX25" s="11"/>
    </row>
    <row r="26" spans="1:128" ht="122.25" customHeight="1" x14ac:dyDescent="0.2">
      <c r="A26" s="86" t="s">
        <v>334</v>
      </c>
      <c r="B26" s="104">
        <v>2531</v>
      </c>
      <c r="C26" s="21" t="s">
        <v>93</v>
      </c>
      <c r="D26" s="21" t="s">
        <v>94</v>
      </c>
      <c r="E26" s="21" t="s">
        <v>168</v>
      </c>
      <c r="F26" s="21" t="s">
        <v>95</v>
      </c>
      <c r="G26" s="21" t="s">
        <v>92</v>
      </c>
      <c r="H26" s="21" t="s">
        <v>169</v>
      </c>
      <c r="I26" s="21" t="s">
        <v>202</v>
      </c>
      <c r="J26" s="21" t="s">
        <v>203</v>
      </c>
      <c r="K26" s="21" t="s">
        <v>204</v>
      </c>
      <c r="L26" s="17" t="s">
        <v>39</v>
      </c>
      <c r="M26" s="17" t="s">
        <v>20</v>
      </c>
      <c r="N26" s="149">
        <f>SUM(O26:AK26)</f>
        <v>0</v>
      </c>
      <c r="O26" s="149"/>
      <c r="P26" s="149"/>
      <c r="Q26" s="149"/>
      <c r="R26" s="149">
        <v>0</v>
      </c>
      <c r="S26" s="149"/>
      <c r="T26" s="149"/>
      <c r="U26" s="149"/>
      <c r="V26" s="149"/>
      <c r="W26" s="149"/>
      <c r="X26" s="149"/>
      <c r="Y26" s="149"/>
      <c r="Z26" s="149"/>
      <c r="AA26" s="149"/>
      <c r="AB26" s="149"/>
      <c r="AC26" s="149"/>
      <c r="AD26" s="149"/>
      <c r="AE26" s="149"/>
      <c r="AF26" s="149">
        <v>0</v>
      </c>
      <c r="AG26" s="149"/>
      <c r="AH26" s="149"/>
      <c r="AI26" s="149"/>
      <c r="AJ26" s="149"/>
      <c r="AK26" s="149"/>
      <c r="AL26" s="149">
        <f t="shared" si="22"/>
        <v>0</v>
      </c>
      <c r="AM26" s="149"/>
      <c r="AN26" s="149"/>
      <c r="AO26" s="149"/>
      <c r="AP26" s="149">
        <v>0</v>
      </c>
      <c r="AQ26" s="149"/>
      <c r="AR26" s="149"/>
      <c r="AS26" s="149"/>
      <c r="AT26" s="149"/>
      <c r="AU26" s="149"/>
      <c r="AV26" s="149"/>
      <c r="AW26" s="149"/>
      <c r="AX26" s="149"/>
      <c r="AY26" s="149"/>
      <c r="AZ26" s="149"/>
      <c r="BA26" s="149"/>
      <c r="BB26" s="149"/>
      <c r="BC26" s="149"/>
      <c r="BD26" s="149">
        <v>0</v>
      </c>
      <c r="BE26" s="149"/>
      <c r="BF26" s="149"/>
      <c r="BG26" s="149"/>
      <c r="BH26" s="149"/>
      <c r="BI26" s="149"/>
      <c r="BJ26" s="149">
        <f t="shared" si="23"/>
        <v>0</v>
      </c>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f t="shared" si="7"/>
        <v>0</v>
      </c>
      <c r="CH26" s="149"/>
      <c r="CI26" s="149"/>
      <c r="CJ26" s="149"/>
      <c r="CK26" s="149">
        <v>0</v>
      </c>
      <c r="CL26" s="149"/>
      <c r="CM26" s="149"/>
      <c r="CN26" s="149"/>
      <c r="CO26" s="149"/>
      <c r="CP26" s="149"/>
      <c r="CQ26" s="149"/>
      <c r="CR26" s="149"/>
      <c r="CS26" s="149"/>
      <c r="CT26" s="149"/>
      <c r="CU26" s="149"/>
      <c r="CV26" s="149"/>
      <c r="CW26" s="149"/>
      <c r="CX26" s="149"/>
      <c r="CY26" s="149"/>
      <c r="CZ26" s="149"/>
      <c r="DA26" s="149"/>
      <c r="DB26" s="149"/>
      <c r="DC26" s="120">
        <f t="shared" si="9"/>
        <v>0</v>
      </c>
      <c r="DD26" s="11"/>
      <c r="DE26" s="11"/>
      <c r="DF26" s="11"/>
      <c r="DG26" s="11">
        <v>0</v>
      </c>
      <c r="DH26" s="11"/>
      <c r="DI26" s="11"/>
      <c r="DJ26" s="11"/>
      <c r="DK26" s="11"/>
      <c r="DL26" s="11"/>
      <c r="DM26" s="11"/>
      <c r="DN26" s="11"/>
      <c r="DO26" s="11"/>
      <c r="DP26" s="11"/>
      <c r="DQ26" s="11"/>
      <c r="DR26" s="11"/>
      <c r="DS26" s="11"/>
      <c r="DT26" s="11"/>
      <c r="DU26" s="11"/>
      <c r="DV26" s="11"/>
      <c r="DW26" s="11"/>
      <c r="DX26" s="11"/>
    </row>
    <row r="27" spans="1:128" ht="122.25" customHeight="1" x14ac:dyDescent="0.2">
      <c r="A27" s="86" t="s">
        <v>335</v>
      </c>
      <c r="B27" s="104">
        <v>2533</v>
      </c>
      <c r="C27" s="21"/>
      <c r="D27" s="21"/>
      <c r="E27" s="21"/>
      <c r="F27" s="21"/>
      <c r="G27" s="21"/>
      <c r="H27" s="21"/>
      <c r="I27" s="21"/>
      <c r="J27" s="21"/>
      <c r="K27" s="21"/>
      <c r="L27" s="17"/>
      <c r="M27" s="17"/>
      <c r="N27" s="149">
        <f t="shared" si="24"/>
        <v>0</v>
      </c>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f t="shared" si="22"/>
        <v>0</v>
      </c>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20">
        <f t="shared" si="9"/>
        <v>0</v>
      </c>
      <c r="DD27" s="11"/>
      <c r="DE27" s="11"/>
      <c r="DF27" s="11"/>
      <c r="DG27" s="11"/>
      <c r="DH27" s="11"/>
      <c r="DI27" s="11"/>
      <c r="DJ27" s="11"/>
      <c r="DK27" s="11"/>
      <c r="DL27" s="11"/>
      <c r="DM27" s="11"/>
      <c r="DN27" s="11"/>
      <c r="DO27" s="11"/>
      <c r="DP27" s="11"/>
      <c r="DQ27" s="11"/>
      <c r="DR27" s="11"/>
      <c r="DS27" s="11"/>
      <c r="DT27" s="11"/>
      <c r="DU27" s="11"/>
      <c r="DV27" s="11"/>
      <c r="DW27" s="11"/>
      <c r="DX27" s="11"/>
    </row>
    <row r="28" spans="1:128" ht="120" x14ac:dyDescent="0.2">
      <c r="A28" s="86" t="s">
        <v>336</v>
      </c>
      <c r="B28" s="104">
        <v>2534</v>
      </c>
      <c r="C28" s="21" t="s">
        <v>105</v>
      </c>
      <c r="D28" s="21" t="s">
        <v>106</v>
      </c>
      <c r="E28" s="21" t="s">
        <v>173</v>
      </c>
      <c r="F28" s="21" t="s">
        <v>107</v>
      </c>
      <c r="G28" s="21" t="s">
        <v>104</v>
      </c>
      <c r="H28" s="21" t="s">
        <v>108</v>
      </c>
      <c r="I28" s="21" t="s">
        <v>207</v>
      </c>
      <c r="J28" s="21" t="s">
        <v>63</v>
      </c>
      <c r="K28" s="21" t="s">
        <v>197</v>
      </c>
      <c r="L28" s="25" t="s">
        <v>145</v>
      </c>
      <c r="M28" s="106" t="s">
        <v>146</v>
      </c>
      <c r="N28" s="149">
        <f t="shared" si="24"/>
        <v>0</v>
      </c>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v>0</v>
      </c>
      <c r="AL28" s="149">
        <f t="shared" si="22"/>
        <v>0</v>
      </c>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v>0</v>
      </c>
      <c r="BJ28" s="149">
        <f>SUM(BK28:CF28)</f>
        <v>0</v>
      </c>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f>SUM(CH28:DB28)</f>
        <v>0</v>
      </c>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20">
        <f t="shared" si="9"/>
        <v>0</v>
      </c>
      <c r="DD28" s="11"/>
      <c r="DE28" s="11"/>
      <c r="DF28" s="11"/>
      <c r="DG28" s="11"/>
      <c r="DH28" s="11"/>
      <c r="DI28" s="11"/>
      <c r="DJ28" s="11"/>
      <c r="DK28" s="11"/>
      <c r="DL28" s="11"/>
      <c r="DM28" s="11"/>
      <c r="DN28" s="11"/>
      <c r="DO28" s="11"/>
      <c r="DP28" s="11"/>
      <c r="DQ28" s="11"/>
      <c r="DR28" s="11"/>
      <c r="DS28" s="11"/>
      <c r="DT28" s="11"/>
      <c r="DU28" s="11"/>
      <c r="DV28" s="11"/>
      <c r="DW28" s="11"/>
      <c r="DX28" s="11"/>
    </row>
    <row r="29" spans="1:128" ht="108" x14ac:dyDescent="0.2">
      <c r="A29" s="86" t="s">
        <v>337</v>
      </c>
      <c r="B29" s="104">
        <v>2537</v>
      </c>
      <c r="C29" s="21" t="s">
        <v>84</v>
      </c>
      <c r="D29" s="21" t="s">
        <v>87</v>
      </c>
      <c r="E29" s="21" t="s">
        <v>165</v>
      </c>
      <c r="F29" s="21" t="s">
        <v>85</v>
      </c>
      <c r="G29" s="21" t="s">
        <v>88</v>
      </c>
      <c r="H29" s="21" t="s">
        <v>86</v>
      </c>
      <c r="I29" s="21" t="s">
        <v>199</v>
      </c>
      <c r="J29" s="21" t="s">
        <v>63</v>
      </c>
      <c r="K29" s="21" t="s">
        <v>197</v>
      </c>
      <c r="L29" s="17" t="s">
        <v>20</v>
      </c>
      <c r="M29" s="17">
        <v>13</v>
      </c>
      <c r="N29" s="149">
        <f t="shared" si="24"/>
        <v>149.80000000000001</v>
      </c>
      <c r="O29" s="149"/>
      <c r="P29" s="149"/>
      <c r="Q29" s="149"/>
      <c r="R29" s="149">
        <v>149.80000000000001</v>
      </c>
      <c r="S29" s="149"/>
      <c r="T29" s="149"/>
      <c r="U29" s="149"/>
      <c r="V29" s="149"/>
      <c r="W29" s="149"/>
      <c r="X29" s="149"/>
      <c r="Y29" s="149"/>
      <c r="Z29" s="149"/>
      <c r="AA29" s="149"/>
      <c r="AB29" s="149"/>
      <c r="AC29" s="149"/>
      <c r="AD29" s="149"/>
      <c r="AE29" s="149"/>
      <c r="AF29" s="149"/>
      <c r="AG29" s="149"/>
      <c r="AH29" s="149"/>
      <c r="AI29" s="149"/>
      <c r="AJ29" s="149"/>
      <c r="AK29" s="149"/>
      <c r="AL29" s="149">
        <f t="shared" si="22"/>
        <v>149.80000000000001</v>
      </c>
      <c r="AM29" s="149"/>
      <c r="AN29" s="149"/>
      <c r="AO29" s="149"/>
      <c r="AP29" s="149">
        <v>149.80000000000001</v>
      </c>
      <c r="AQ29" s="149"/>
      <c r="AR29" s="149"/>
      <c r="AS29" s="149"/>
      <c r="AT29" s="149"/>
      <c r="AU29" s="149"/>
      <c r="AV29" s="149"/>
      <c r="AW29" s="149"/>
      <c r="AX29" s="149"/>
      <c r="AY29" s="149"/>
      <c r="AZ29" s="149"/>
      <c r="BA29" s="149"/>
      <c r="BB29" s="149"/>
      <c r="BC29" s="149"/>
      <c r="BD29" s="149"/>
      <c r="BE29" s="149"/>
      <c r="BF29" s="149"/>
      <c r="BG29" s="149"/>
      <c r="BH29" s="149"/>
      <c r="BI29" s="149"/>
      <c r="BJ29" s="149">
        <f>SUM(BK29:CE29)</f>
        <v>134</v>
      </c>
      <c r="BK29" s="149"/>
      <c r="BL29" s="149"/>
      <c r="BM29" s="149"/>
      <c r="BN29" s="149">
        <v>134</v>
      </c>
      <c r="BO29" s="149"/>
      <c r="BP29" s="149"/>
      <c r="BQ29" s="149"/>
      <c r="BR29" s="149"/>
      <c r="BS29" s="149"/>
      <c r="BT29" s="149"/>
      <c r="BU29" s="149"/>
      <c r="BV29" s="149"/>
      <c r="BW29" s="149"/>
      <c r="BX29" s="149"/>
      <c r="BY29" s="149"/>
      <c r="BZ29" s="149"/>
      <c r="CA29" s="149"/>
      <c r="CB29" s="149"/>
      <c r="CC29" s="149"/>
      <c r="CD29" s="149"/>
      <c r="CE29" s="149"/>
      <c r="CF29" s="149"/>
      <c r="CG29" s="149">
        <f>SUM(CH29:DB29)</f>
        <v>139.4</v>
      </c>
      <c r="CH29" s="149"/>
      <c r="CI29" s="149"/>
      <c r="CJ29" s="149"/>
      <c r="CK29" s="149">
        <v>139.4</v>
      </c>
      <c r="CL29" s="149"/>
      <c r="CM29" s="149"/>
      <c r="CN29" s="149"/>
      <c r="CO29" s="149"/>
      <c r="CP29" s="149"/>
      <c r="CQ29" s="149"/>
      <c r="CR29" s="149"/>
      <c r="CS29" s="149"/>
      <c r="CT29" s="149"/>
      <c r="CU29" s="149"/>
      <c r="CV29" s="149"/>
      <c r="CW29" s="149"/>
      <c r="CX29" s="149"/>
      <c r="CY29" s="149"/>
      <c r="CZ29" s="149"/>
      <c r="DA29" s="149"/>
      <c r="DB29" s="149"/>
      <c r="DC29" s="120">
        <f t="shared" si="9"/>
        <v>144.9</v>
      </c>
      <c r="DD29" s="11"/>
      <c r="DE29" s="11"/>
      <c r="DF29" s="11"/>
      <c r="DG29" s="11">
        <v>144.9</v>
      </c>
      <c r="DH29" s="11"/>
      <c r="DI29" s="11"/>
      <c r="DJ29" s="11"/>
      <c r="DK29" s="11"/>
      <c r="DL29" s="11"/>
      <c r="DM29" s="11"/>
      <c r="DN29" s="11"/>
      <c r="DO29" s="11"/>
      <c r="DP29" s="11"/>
      <c r="DQ29" s="11"/>
      <c r="DR29" s="11"/>
      <c r="DS29" s="11"/>
      <c r="DT29" s="11"/>
      <c r="DU29" s="11"/>
      <c r="DV29" s="11"/>
      <c r="DW29" s="11"/>
      <c r="DX29" s="11"/>
    </row>
    <row r="30" spans="1:128" ht="22.5" x14ac:dyDescent="0.2">
      <c r="A30" s="86" t="s">
        <v>338</v>
      </c>
      <c r="B30" s="104">
        <v>2538</v>
      </c>
      <c r="C30" s="21"/>
      <c r="D30" s="21"/>
      <c r="E30" s="21"/>
      <c r="F30" s="21"/>
      <c r="G30" s="21"/>
      <c r="H30" s="21"/>
      <c r="I30" s="21"/>
      <c r="J30" s="21"/>
      <c r="K30" s="21"/>
      <c r="L30" s="17"/>
      <c r="M30" s="17"/>
      <c r="N30" s="149">
        <f t="shared" si="24"/>
        <v>0</v>
      </c>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f t="shared" si="22"/>
        <v>0</v>
      </c>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20">
        <f t="shared" si="9"/>
        <v>0</v>
      </c>
      <c r="DD30" s="11"/>
      <c r="DE30" s="11"/>
      <c r="DF30" s="11"/>
      <c r="DG30" s="11"/>
      <c r="DH30" s="11"/>
      <c r="DI30" s="11"/>
      <c r="DJ30" s="11"/>
      <c r="DK30" s="11"/>
      <c r="DL30" s="11"/>
      <c r="DM30" s="11"/>
      <c r="DN30" s="11"/>
      <c r="DO30" s="11"/>
      <c r="DP30" s="11"/>
      <c r="DQ30" s="11"/>
      <c r="DR30" s="11"/>
      <c r="DS30" s="11"/>
      <c r="DT30" s="11"/>
      <c r="DU30" s="11"/>
      <c r="DV30" s="11"/>
      <c r="DW30" s="11"/>
      <c r="DX30" s="11"/>
    </row>
    <row r="31" spans="1:128" ht="144" x14ac:dyDescent="0.2">
      <c r="A31" s="86" t="s">
        <v>339</v>
      </c>
      <c r="B31" s="74">
        <v>2539</v>
      </c>
      <c r="C31" s="21" t="s">
        <v>82</v>
      </c>
      <c r="D31" s="21" t="s">
        <v>83</v>
      </c>
      <c r="E31" s="21" t="s">
        <v>164</v>
      </c>
      <c r="F31" s="41"/>
      <c r="G31" s="41"/>
      <c r="H31" s="41"/>
      <c r="I31" s="21" t="s">
        <v>195</v>
      </c>
      <c r="J31" s="21" t="s">
        <v>63</v>
      </c>
      <c r="K31" s="35" t="s">
        <v>197</v>
      </c>
      <c r="L31" s="17" t="s">
        <v>37</v>
      </c>
      <c r="M31" s="17" t="s">
        <v>21</v>
      </c>
      <c r="N31" s="149">
        <f t="shared" si="24"/>
        <v>3163.8</v>
      </c>
      <c r="O31" s="149"/>
      <c r="P31" s="149"/>
      <c r="Q31" s="149"/>
      <c r="R31" s="149"/>
      <c r="S31" s="149"/>
      <c r="T31" s="149"/>
      <c r="U31" s="149"/>
      <c r="V31" s="149"/>
      <c r="W31" s="149"/>
      <c r="X31" s="149"/>
      <c r="Y31" s="149"/>
      <c r="Z31" s="149"/>
      <c r="AA31" s="149"/>
      <c r="AB31" s="149">
        <v>0</v>
      </c>
      <c r="AC31" s="149">
        <f>1000+570+1593.8</f>
        <v>3163.8</v>
      </c>
      <c r="AD31" s="149"/>
      <c r="AE31" s="149"/>
      <c r="AF31" s="149"/>
      <c r="AG31" s="149"/>
      <c r="AH31" s="149"/>
      <c r="AI31" s="149"/>
      <c r="AJ31" s="149"/>
      <c r="AK31" s="149"/>
      <c r="AL31" s="149">
        <f t="shared" si="22"/>
        <v>3163.8</v>
      </c>
      <c r="AM31" s="149"/>
      <c r="AN31" s="149"/>
      <c r="AO31" s="149"/>
      <c r="AP31" s="149"/>
      <c r="AQ31" s="149"/>
      <c r="AR31" s="149"/>
      <c r="AS31" s="149"/>
      <c r="AT31" s="149"/>
      <c r="AU31" s="149"/>
      <c r="AV31" s="149"/>
      <c r="AW31" s="149"/>
      <c r="AX31" s="149"/>
      <c r="AY31" s="149"/>
      <c r="AZ31" s="149">
        <v>0</v>
      </c>
      <c r="BA31" s="149">
        <f>1000+570+1593.8</f>
        <v>3163.8</v>
      </c>
      <c r="BB31" s="149"/>
      <c r="BC31" s="149"/>
      <c r="BD31" s="149"/>
      <c r="BE31" s="149"/>
      <c r="BF31" s="149"/>
      <c r="BG31" s="149"/>
      <c r="BH31" s="149"/>
      <c r="BI31" s="149"/>
      <c r="BJ31" s="149">
        <f t="shared" ref="BJ31:BJ45" si="25">SUM(BK31:CE31)</f>
        <v>2117</v>
      </c>
      <c r="BK31" s="149"/>
      <c r="BL31" s="149"/>
      <c r="BM31" s="149"/>
      <c r="BN31" s="149"/>
      <c r="BO31" s="149"/>
      <c r="BP31" s="149"/>
      <c r="BQ31" s="149"/>
      <c r="BR31" s="149"/>
      <c r="BS31" s="149"/>
      <c r="BT31" s="149"/>
      <c r="BU31" s="149"/>
      <c r="BV31" s="149"/>
      <c r="BW31" s="149"/>
      <c r="BX31" s="149">
        <v>0</v>
      </c>
      <c r="BY31" s="149">
        <v>2117</v>
      </c>
      <c r="BZ31" s="149"/>
      <c r="CA31" s="149"/>
      <c r="CB31" s="149"/>
      <c r="CC31" s="149"/>
      <c r="CD31" s="149"/>
      <c r="CE31" s="149"/>
      <c r="CF31" s="149"/>
      <c r="CG31" s="149">
        <f t="shared" ref="CG31:CG45" si="26">SUM(CH31:DB31)</f>
        <v>0</v>
      </c>
      <c r="CH31" s="149"/>
      <c r="CI31" s="149"/>
      <c r="CJ31" s="149"/>
      <c r="CK31" s="149"/>
      <c r="CL31" s="149"/>
      <c r="CM31" s="149"/>
      <c r="CN31" s="149"/>
      <c r="CO31" s="149"/>
      <c r="CP31" s="149"/>
      <c r="CQ31" s="149"/>
      <c r="CR31" s="149"/>
      <c r="CS31" s="149"/>
      <c r="CT31" s="149"/>
      <c r="CU31" s="149">
        <v>0</v>
      </c>
      <c r="CV31" s="149">
        <v>0</v>
      </c>
      <c r="CW31" s="149"/>
      <c r="CX31" s="149"/>
      <c r="CY31" s="149"/>
      <c r="CZ31" s="149"/>
      <c r="DA31" s="149"/>
      <c r="DB31" s="149"/>
      <c r="DC31" s="120">
        <f t="shared" si="9"/>
        <v>0</v>
      </c>
      <c r="DD31" s="11"/>
      <c r="DE31" s="11"/>
      <c r="DF31" s="11"/>
      <c r="DG31" s="11"/>
      <c r="DH31" s="11"/>
      <c r="DI31" s="11"/>
      <c r="DJ31" s="11"/>
      <c r="DK31" s="11"/>
      <c r="DL31" s="11"/>
      <c r="DM31" s="11"/>
      <c r="DN31" s="11"/>
      <c r="DO31" s="11"/>
      <c r="DP31" s="11"/>
      <c r="DQ31" s="11">
        <v>0</v>
      </c>
      <c r="DR31" s="11"/>
      <c r="DS31" s="11"/>
      <c r="DT31" s="11"/>
      <c r="DU31" s="11"/>
      <c r="DV31" s="11"/>
      <c r="DW31" s="11"/>
      <c r="DX31" s="11"/>
    </row>
    <row r="32" spans="1:128" ht="67.5" x14ac:dyDescent="0.2">
      <c r="A32" s="86" t="s">
        <v>340</v>
      </c>
      <c r="B32" s="74">
        <v>2541</v>
      </c>
      <c r="C32" s="21"/>
      <c r="D32" s="21"/>
      <c r="E32" s="21"/>
      <c r="F32" s="41"/>
      <c r="G32" s="41"/>
      <c r="H32" s="41"/>
      <c r="I32" s="21"/>
      <c r="J32" s="21"/>
      <c r="K32" s="35"/>
      <c r="L32" s="17"/>
      <c r="M32" s="17"/>
      <c r="N32" s="149">
        <f t="shared" si="24"/>
        <v>31812</v>
      </c>
      <c r="O32" s="149"/>
      <c r="P32" s="149"/>
      <c r="Q32" s="149"/>
      <c r="R32" s="149"/>
      <c r="S32" s="149"/>
      <c r="T32" s="149"/>
      <c r="U32" s="149"/>
      <c r="V32" s="149"/>
      <c r="W32" s="149"/>
      <c r="X32" s="149"/>
      <c r="Y32" s="149"/>
      <c r="Z32" s="149"/>
      <c r="AA32" s="149"/>
      <c r="AB32" s="149"/>
      <c r="AC32" s="149">
        <f>1117.4+898.1+2691.6+4990.9+787.4+1200+20.4+2330.1+6638.6</f>
        <v>20674.5</v>
      </c>
      <c r="AD32" s="149">
        <v>11137.5</v>
      </c>
      <c r="AE32" s="149"/>
      <c r="AF32" s="149"/>
      <c r="AG32" s="149"/>
      <c r="AH32" s="149"/>
      <c r="AI32" s="149"/>
      <c r="AJ32" s="149"/>
      <c r="AK32" s="149"/>
      <c r="AL32" s="149">
        <f t="shared" si="22"/>
        <v>31782.800000000003</v>
      </c>
      <c r="AM32" s="149"/>
      <c r="AN32" s="149"/>
      <c r="AO32" s="149"/>
      <c r="AP32" s="149"/>
      <c r="AQ32" s="149"/>
      <c r="AR32" s="149"/>
      <c r="AS32" s="149"/>
      <c r="AT32" s="149"/>
      <c r="AU32" s="149"/>
      <c r="AV32" s="149"/>
      <c r="AW32" s="149"/>
      <c r="AX32" s="149"/>
      <c r="AY32" s="149"/>
      <c r="AZ32" s="149"/>
      <c r="BA32" s="149">
        <f>1117.4+898.1+2691.6+4989.3+759.8+1200+20.4+2330.1+6638.6</f>
        <v>20645.300000000003</v>
      </c>
      <c r="BB32" s="149">
        <v>11137.5</v>
      </c>
      <c r="BC32" s="149"/>
      <c r="BD32" s="149"/>
      <c r="BE32" s="149"/>
      <c r="BF32" s="149"/>
      <c r="BG32" s="149"/>
      <c r="BH32" s="149"/>
      <c r="BI32" s="149"/>
      <c r="BJ32" s="149">
        <f t="shared" si="25"/>
        <v>20532.399999999998</v>
      </c>
      <c r="BK32" s="149"/>
      <c r="BL32" s="149"/>
      <c r="BM32" s="149"/>
      <c r="BN32" s="149"/>
      <c r="BO32" s="149"/>
      <c r="BP32" s="149"/>
      <c r="BQ32" s="149"/>
      <c r="BR32" s="149"/>
      <c r="BS32" s="149"/>
      <c r="BT32" s="149"/>
      <c r="BU32" s="149"/>
      <c r="BV32" s="149"/>
      <c r="BW32" s="149"/>
      <c r="BX32" s="149"/>
      <c r="BY32" s="149">
        <f>3286.9+8140.9+100+6605.9+2398.7</f>
        <v>20532.399999999998</v>
      </c>
      <c r="BZ32" s="149">
        <v>0</v>
      </c>
      <c r="CA32" s="149"/>
      <c r="CB32" s="149"/>
      <c r="CC32" s="149"/>
      <c r="CD32" s="149"/>
      <c r="CE32" s="149"/>
      <c r="CF32" s="149"/>
      <c r="CG32" s="149">
        <f t="shared" si="26"/>
        <v>26636.7</v>
      </c>
      <c r="CH32" s="149"/>
      <c r="CI32" s="149"/>
      <c r="CJ32" s="149"/>
      <c r="CK32" s="149"/>
      <c r="CL32" s="149"/>
      <c r="CM32" s="149"/>
      <c r="CN32" s="149"/>
      <c r="CO32" s="149"/>
      <c r="CP32" s="149"/>
      <c r="CQ32" s="149"/>
      <c r="CR32" s="149"/>
      <c r="CS32" s="149"/>
      <c r="CT32" s="149"/>
      <c r="CU32" s="149"/>
      <c r="CV32" s="149">
        <v>26636.7</v>
      </c>
      <c r="CW32" s="149">
        <v>0</v>
      </c>
      <c r="CX32" s="149"/>
      <c r="CY32" s="149"/>
      <c r="CZ32" s="149"/>
      <c r="DA32" s="149"/>
      <c r="DB32" s="149"/>
      <c r="DC32" s="120">
        <f t="shared" si="9"/>
        <v>31795.3</v>
      </c>
      <c r="DD32" s="11"/>
      <c r="DE32" s="11"/>
      <c r="DF32" s="11"/>
      <c r="DG32" s="11"/>
      <c r="DH32" s="11"/>
      <c r="DI32" s="11"/>
      <c r="DJ32" s="11"/>
      <c r="DK32" s="11"/>
      <c r="DL32" s="11"/>
      <c r="DM32" s="11"/>
      <c r="DN32" s="11"/>
      <c r="DO32" s="11"/>
      <c r="DP32" s="11"/>
      <c r="DQ32" s="11"/>
      <c r="DR32" s="11">
        <v>31795.3</v>
      </c>
      <c r="DS32" s="11"/>
      <c r="DT32" s="11"/>
      <c r="DU32" s="11"/>
      <c r="DV32" s="11"/>
      <c r="DW32" s="11"/>
      <c r="DX32" s="11"/>
    </row>
    <row r="33" spans="1:128" ht="247.5" x14ac:dyDescent="0.2">
      <c r="A33" s="86" t="s">
        <v>341</v>
      </c>
      <c r="B33" s="74">
        <v>2544</v>
      </c>
      <c r="C33" s="21"/>
      <c r="D33" s="21"/>
      <c r="E33" s="21"/>
      <c r="F33" s="41"/>
      <c r="G33" s="41"/>
      <c r="H33" s="41"/>
      <c r="I33" s="21"/>
      <c r="J33" s="21"/>
      <c r="K33" s="35"/>
      <c r="L33" s="17"/>
      <c r="M33" s="17"/>
      <c r="N33" s="149">
        <f t="shared" si="24"/>
        <v>250</v>
      </c>
      <c r="O33" s="149"/>
      <c r="P33" s="149"/>
      <c r="Q33" s="149"/>
      <c r="R33" s="149"/>
      <c r="S33" s="149"/>
      <c r="T33" s="149"/>
      <c r="U33" s="149"/>
      <c r="V33" s="149"/>
      <c r="W33" s="149"/>
      <c r="X33" s="149"/>
      <c r="Y33" s="149"/>
      <c r="Z33" s="149">
        <v>250</v>
      </c>
      <c r="AA33" s="149"/>
      <c r="AB33" s="149"/>
      <c r="AC33" s="149"/>
      <c r="AD33" s="149"/>
      <c r="AE33" s="149"/>
      <c r="AF33" s="149"/>
      <c r="AG33" s="149"/>
      <c r="AH33" s="149"/>
      <c r="AI33" s="149"/>
      <c r="AJ33" s="149"/>
      <c r="AK33" s="149"/>
      <c r="AL33" s="149">
        <f t="shared" si="22"/>
        <v>155.5</v>
      </c>
      <c r="AM33" s="149"/>
      <c r="AN33" s="149"/>
      <c r="AO33" s="149"/>
      <c r="AP33" s="149"/>
      <c r="AQ33" s="149"/>
      <c r="AR33" s="149"/>
      <c r="AS33" s="149"/>
      <c r="AT33" s="149"/>
      <c r="AU33" s="149"/>
      <c r="AV33" s="149"/>
      <c r="AW33" s="149"/>
      <c r="AX33" s="149">
        <v>155.5</v>
      </c>
      <c r="AY33" s="149"/>
      <c r="AZ33" s="149"/>
      <c r="BA33" s="149"/>
      <c r="BB33" s="149"/>
      <c r="BC33" s="149"/>
      <c r="BD33" s="149"/>
      <c r="BE33" s="149"/>
      <c r="BF33" s="149"/>
      <c r="BG33" s="149"/>
      <c r="BH33" s="149"/>
      <c r="BI33" s="149"/>
      <c r="BJ33" s="149">
        <f t="shared" si="25"/>
        <v>0</v>
      </c>
      <c r="BK33" s="149"/>
      <c r="BL33" s="149"/>
      <c r="BM33" s="149"/>
      <c r="BN33" s="149"/>
      <c r="BO33" s="149"/>
      <c r="BP33" s="149"/>
      <c r="BQ33" s="149"/>
      <c r="BR33" s="149"/>
      <c r="BS33" s="149"/>
      <c r="BT33" s="149"/>
      <c r="BU33" s="149"/>
      <c r="BV33" s="149">
        <v>0</v>
      </c>
      <c r="BW33" s="149"/>
      <c r="BX33" s="149"/>
      <c r="BY33" s="149"/>
      <c r="BZ33" s="149"/>
      <c r="CA33" s="149"/>
      <c r="CB33" s="149"/>
      <c r="CC33" s="149"/>
      <c r="CD33" s="149"/>
      <c r="CE33" s="149"/>
      <c r="CF33" s="149"/>
      <c r="CG33" s="149">
        <f t="shared" si="26"/>
        <v>300</v>
      </c>
      <c r="CH33" s="149"/>
      <c r="CI33" s="149"/>
      <c r="CJ33" s="149"/>
      <c r="CK33" s="149"/>
      <c r="CL33" s="149"/>
      <c r="CM33" s="149"/>
      <c r="CN33" s="149"/>
      <c r="CO33" s="149"/>
      <c r="CP33" s="149"/>
      <c r="CQ33" s="149"/>
      <c r="CR33" s="149"/>
      <c r="CS33" s="149">
        <v>300</v>
      </c>
      <c r="CT33" s="149"/>
      <c r="CU33" s="149"/>
      <c r="CV33" s="149"/>
      <c r="CW33" s="149"/>
      <c r="CX33" s="149"/>
      <c r="CY33" s="149"/>
      <c r="CZ33" s="149"/>
      <c r="DA33" s="149"/>
      <c r="DB33" s="149"/>
      <c r="DC33" s="120">
        <f t="shared" si="9"/>
        <v>0</v>
      </c>
      <c r="DD33" s="11"/>
      <c r="DE33" s="11"/>
      <c r="DF33" s="11"/>
      <c r="DG33" s="11"/>
      <c r="DH33" s="11"/>
      <c r="DI33" s="11"/>
      <c r="DJ33" s="11"/>
      <c r="DK33" s="11"/>
      <c r="DL33" s="11"/>
      <c r="DM33" s="11"/>
      <c r="DN33" s="11"/>
      <c r="DO33" s="11">
        <v>0</v>
      </c>
      <c r="DP33" s="11"/>
      <c r="DQ33" s="11"/>
      <c r="DR33" s="11"/>
      <c r="DS33" s="11"/>
      <c r="DT33" s="11"/>
      <c r="DU33" s="11"/>
      <c r="DV33" s="11"/>
      <c r="DW33" s="11"/>
      <c r="DX33" s="11"/>
    </row>
    <row r="34" spans="1:128" ht="180" x14ac:dyDescent="0.2">
      <c r="A34" s="86" t="s">
        <v>342</v>
      </c>
      <c r="B34" s="74">
        <v>2547</v>
      </c>
      <c r="C34" s="21" t="s">
        <v>96</v>
      </c>
      <c r="D34" s="21" t="s">
        <v>97</v>
      </c>
      <c r="E34" s="21" t="s">
        <v>170</v>
      </c>
      <c r="F34" s="21" t="s">
        <v>98</v>
      </c>
      <c r="G34" s="21" t="s">
        <v>100</v>
      </c>
      <c r="H34" s="21" t="s">
        <v>99</v>
      </c>
      <c r="I34" s="21" t="s">
        <v>205</v>
      </c>
      <c r="J34" s="21" t="s">
        <v>63</v>
      </c>
      <c r="K34" s="35" t="s">
        <v>197</v>
      </c>
      <c r="L34" s="17" t="s">
        <v>22</v>
      </c>
      <c r="M34" s="17" t="s">
        <v>33</v>
      </c>
      <c r="N34" s="149">
        <f t="shared" si="24"/>
        <v>0</v>
      </c>
      <c r="O34" s="149"/>
      <c r="P34" s="149"/>
      <c r="Q34" s="149"/>
      <c r="R34" s="149">
        <v>0</v>
      </c>
      <c r="S34" s="149"/>
      <c r="T34" s="149"/>
      <c r="U34" s="149"/>
      <c r="V34" s="149">
        <v>0</v>
      </c>
      <c r="W34" s="149"/>
      <c r="X34" s="149"/>
      <c r="Y34" s="149"/>
      <c r="Z34" s="149"/>
      <c r="AA34" s="149"/>
      <c r="AB34" s="149"/>
      <c r="AC34" s="149"/>
      <c r="AD34" s="149"/>
      <c r="AE34" s="149"/>
      <c r="AF34" s="149"/>
      <c r="AG34" s="149"/>
      <c r="AH34" s="149"/>
      <c r="AI34" s="149"/>
      <c r="AJ34" s="149"/>
      <c r="AK34" s="149"/>
      <c r="AL34" s="149">
        <f t="shared" si="22"/>
        <v>0</v>
      </c>
      <c r="AM34" s="149"/>
      <c r="AN34" s="149"/>
      <c r="AO34" s="149"/>
      <c r="AP34" s="149"/>
      <c r="AQ34" s="149"/>
      <c r="AR34" s="149"/>
      <c r="AS34" s="149"/>
      <c r="AT34" s="149">
        <v>0</v>
      </c>
      <c r="AU34" s="149"/>
      <c r="AV34" s="149"/>
      <c r="AW34" s="149"/>
      <c r="AX34" s="149"/>
      <c r="AY34" s="149"/>
      <c r="AZ34" s="149"/>
      <c r="BA34" s="149"/>
      <c r="BB34" s="149"/>
      <c r="BC34" s="149"/>
      <c r="BD34" s="149"/>
      <c r="BE34" s="149"/>
      <c r="BF34" s="149"/>
      <c r="BG34" s="149"/>
      <c r="BH34" s="149"/>
      <c r="BI34" s="149"/>
      <c r="BJ34" s="149">
        <f t="shared" si="25"/>
        <v>127.3</v>
      </c>
      <c r="BK34" s="149"/>
      <c r="BL34" s="149"/>
      <c r="BM34" s="149"/>
      <c r="BN34" s="149">
        <v>0</v>
      </c>
      <c r="BO34" s="149"/>
      <c r="BP34" s="149"/>
      <c r="BQ34" s="149"/>
      <c r="BR34" s="149">
        <v>127.3</v>
      </c>
      <c r="BS34" s="149"/>
      <c r="BT34" s="149"/>
      <c r="BU34" s="149"/>
      <c r="BV34" s="149"/>
      <c r="BW34" s="149"/>
      <c r="BX34" s="149"/>
      <c r="BY34" s="149"/>
      <c r="BZ34" s="149"/>
      <c r="CA34" s="149"/>
      <c r="CB34" s="149"/>
      <c r="CC34" s="149"/>
      <c r="CD34" s="149"/>
      <c r="CE34" s="149"/>
      <c r="CF34" s="149"/>
      <c r="CG34" s="149">
        <f t="shared" si="26"/>
        <v>0</v>
      </c>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20">
        <f t="shared" si="9"/>
        <v>0</v>
      </c>
      <c r="DD34" s="11"/>
      <c r="DE34" s="11"/>
      <c r="DF34" s="11"/>
      <c r="DG34" s="11"/>
      <c r="DH34" s="11"/>
      <c r="DI34" s="11"/>
      <c r="DJ34" s="11"/>
      <c r="DK34" s="11">
        <v>0</v>
      </c>
      <c r="DL34" s="11"/>
      <c r="DM34" s="11"/>
      <c r="DN34" s="11"/>
      <c r="DO34" s="11"/>
      <c r="DP34" s="11"/>
      <c r="DQ34" s="11"/>
      <c r="DR34" s="11"/>
      <c r="DS34" s="11"/>
      <c r="DT34" s="11"/>
      <c r="DU34" s="11"/>
      <c r="DV34" s="11"/>
      <c r="DW34" s="11"/>
      <c r="DX34" s="11"/>
    </row>
    <row r="35" spans="1:128" ht="99" customHeight="1" x14ac:dyDescent="0.2">
      <c r="A35" s="86" t="s">
        <v>343</v>
      </c>
      <c r="B35" s="74">
        <v>2552</v>
      </c>
      <c r="C35" s="21" t="s">
        <v>101</v>
      </c>
      <c r="D35" s="21" t="s">
        <v>102</v>
      </c>
      <c r="E35" s="21" t="s">
        <v>171</v>
      </c>
      <c r="F35" s="21" t="s">
        <v>103</v>
      </c>
      <c r="G35" s="21" t="s">
        <v>104</v>
      </c>
      <c r="H35" s="21" t="s">
        <v>172</v>
      </c>
      <c r="I35" s="21" t="s">
        <v>209</v>
      </c>
      <c r="J35" s="21" t="s">
        <v>206</v>
      </c>
      <c r="K35" s="21" t="s">
        <v>208</v>
      </c>
      <c r="L35" s="17" t="s">
        <v>24</v>
      </c>
      <c r="M35" s="17" t="s">
        <v>37</v>
      </c>
      <c r="N35" s="149">
        <f t="shared" si="24"/>
        <v>598.9</v>
      </c>
      <c r="O35" s="149"/>
      <c r="P35" s="149"/>
      <c r="Q35" s="149"/>
      <c r="R35" s="149"/>
      <c r="S35" s="149"/>
      <c r="T35" s="149"/>
      <c r="U35" s="149"/>
      <c r="V35" s="149"/>
      <c r="W35" s="149">
        <f>428.9+170</f>
        <v>598.9</v>
      </c>
      <c r="X35" s="149"/>
      <c r="Y35" s="149"/>
      <c r="Z35" s="149"/>
      <c r="AA35" s="149"/>
      <c r="AB35" s="149"/>
      <c r="AC35" s="149"/>
      <c r="AD35" s="149"/>
      <c r="AE35" s="149"/>
      <c r="AF35" s="149"/>
      <c r="AG35" s="149"/>
      <c r="AH35" s="149"/>
      <c r="AI35" s="149"/>
      <c r="AJ35" s="149"/>
      <c r="AK35" s="149"/>
      <c r="AL35" s="149">
        <f t="shared" si="22"/>
        <v>598.9</v>
      </c>
      <c r="AM35" s="149"/>
      <c r="AN35" s="149"/>
      <c r="AO35" s="149"/>
      <c r="AP35" s="149"/>
      <c r="AQ35" s="149"/>
      <c r="AR35" s="149"/>
      <c r="AS35" s="149"/>
      <c r="AT35" s="149"/>
      <c r="AU35" s="149">
        <f>428.9+170</f>
        <v>598.9</v>
      </c>
      <c r="AV35" s="149"/>
      <c r="AW35" s="149"/>
      <c r="AX35" s="149"/>
      <c r="AY35" s="149"/>
      <c r="AZ35" s="149"/>
      <c r="BA35" s="149"/>
      <c r="BB35" s="149"/>
      <c r="BC35" s="149"/>
      <c r="BD35" s="149"/>
      <c r="BE35" s="149"/>
      <c r="BF35" s="149"/>
      <c r="BG35" s="149"/>
      <c r="BH35" s="149"/>
      <c r="BI35" s="149"/>
      <c r="BJ35" s="149">
        <f t="shared" si="25"/>
        <v>625.79999999999995</v>
      </c>
      <c r="BK35" s="149"/>
      <c r="BL35" s="149"/>
      <c r="BM35" s="149"/>
      <c r="BN35" s="149"/>
      <c r="BO35" s="149"/>
      <c r="BP35" s="149"/>
      <c r="BQ35" s="149"/>
      <c r="BR35" s="149"/>
      <c r="BS35" s="149">
        <f>246.9+107.8</f>
        <v>354.7</v>
      </c>
      <c r="BT35" s="149"/>
      <c r="BU35" s="149"/>
      <c r="BV35" s="149">
        <v>271.10000000000002</v>
      </c>
      <c r="BW35" s="149"/>
      <c r="BX35" s="149"/>
      <c r="BY35" s="149"/>
      <c r="BZ35" s="149"/>
      <c r="CA35" s="149"/>
      <c r="CB35" s="149"/>
      <c r="CC35" s="149"/>
      <c r="CD35" s="149"/>
      <c r="CE35" s="149"/>
      <c r="CF35" s="149"/>
      <c r="CG35" s="149">
        <f t="shared" si="26"/>
        <v>1014.7</v>
      </c>
      <c r="CH35" s="149"/>
      <c r="CI35" s="149"/>
      <c r="CJ35" s="149"/>
      <c r="CK35" s="149"/>
      <c r="CL35" s="149"/>
      <c r="CM35" s="149"/>
      <c r="CN35" s="149"/>
      <c r="CO35" s="149"/>
      <c r="CP35" s="149">
        <f>124.8+131.9+107.4</f>
        <v>364.1</v>
      </c>
      <c r="CQ35" s="149"/>
      <c r="CR35" s="149"/>
      <c r="CS35" s="149">
        <v>650.6</v>
      </c>
      <c r="CT35" s="149"/>
      <c r="CU35" s="149"/>
      <c r="CV35" s="149"/>
      <c r="CW35" s="149"/>
      <c r="CX35" s="149"/>
      <c r="CY35" s="149"/>
      <c r="CZ35" s="149"/>
      <c r="DA35" s="149"/>
      <c r="DB35" s="149"/>
      <c r="DC35" s="120">
        <f t="shared" si="9"/>
        <v>266.8</v>
      </c>
      <c r="DD35" s="11"/>
      <c r="DE35" s="11"/>
      <c r="DF35" s="11"/>
      <c r="DG35" s="11"/>
      <c r="DH35" s="11"/>
      <c r="DI35" s="11"/>
      <c r="DJ35" s="11"/>
      <c r="DK35" s="11"/>
      <c r="DL35" s="11">
        <f>130+136.8</f>
        <v>266.8</v>
      </c>
      <c r="DM35" s="11"/>
      <c r="DN35" s="11"/>
      <c r="DO35" s="11"/>
      <c r="DP35" s="11"/>
      <c r="DQ35" s="11"/>
      <c r="DR35" s="11"/>
      <c r="DS35" s="11"/>
      <c r="DT35" s="11"/>
      <c r="DU35" s="11"/>
      <c r="DV35" s="11"/>
      <c r="DW35" s="11"/>
      <c r="DX35" s="11"/>
    </row>
    <row r="36" spans="1:128" ht="47.25" customHeight="1" x14ac:dyDescent="0.2">
      <c r="A36" s="86" t="s">
        <v>344</v>
      </c>
      <c r="B36" s="74">
        <v>2553</v>
      </c>
      <c r="C36" s="21"/>
      <c r="D36" s="21"/>
      <c r="E36" s="21"/>
      <c r="F36" s="21"/>
      <c r="G36" s="21"/>
      <c r="H36" s="21"/>
      <c r="I36" s="21"/>
      <c r="J36" s="21"/>
      <c r="K36" s="21"/>
      <c r="L36" s="105" t="s">
        <v>24</v>
      </c>
      <c r="M36" s="17" t="s">
        <v>272</v>
      </c>
      <c r="N36" s="149">
        <f t="shared" si="24"/>
        <v>100</v>
      </c>
      <c r="O36" s="149"/>
      <c r="P36" s="149"/>
      <c r="Q36" s="149"/>
      <c r="R36" s="149"/>
      <c r="S36" s="149"/>
      <c r="T36" s="149"/>
      <c r="U36" s="149"/>
      <c r="V36" s="149"/>
      <c r="W36" s="149"/>
      <c r="X36" s="149"/>
      <c r="Y36" s="149"/>
      <c r="Z36" s="149">
        <v>100</v>
      </c>
      <c r="AA36" s="149"/>
      <c r="AB36" s="149"/>
      <c r="AC36" s="149"/>
      <c r="AD36" s="149"/>
      <c r="AE36" s="149"/>
      <c r="AF36" s="149"/>
      <c r="AG36" s="149"/>
      <c r="AH36" s="149"/>
      <c r="AI36" s="149"/>
      <c r="AJ36" s="149"/>
      <c r="AK36" s="149"/>
      <c r="AL36" s="149">
        <f t="shared" si="22"/>
        <v>100</v>
      </c>
      <c r="AM36" s="149"/>
      <c r="AN36" s="149"/>
      <c r="AO36" s="149"/>
      <c r="AP36" s="149"/>
      <c r="AQ36" s="149"/>
      <c r="AR36" s="149"/>
      <c r="AS36" s="149"/>
      <c r="AT36" s="149"/>
      <c r="AU36" s="149"/>
      <c r="AV36" s="149"/>
      <c r="AW36" s="149"/>
      <c r="AX36" s="149">
        <v>100</v>
      </c>
      <c r="AY36" s="149"/>
      <c r="AZ36" s="149"/>
      <c r="BA36" s="149"/>
      <c r="BB36" s="149"/>
      <c r="BC36" s="149"/>
      <c r="BD36" s="149"/>
      <c r="BE36" s="149"/>
      <c r="BF36" s="149"/>
      <c r="BG36" s="149"/>
      <c r="BH36" s="149"/>
      <c r="BI36" s="149"/>
      <c r="BJ36" s="149">
        <f t="shared" si="25"/>
        <v>0</v>
      </c>
      <c r="BK36" s="149"/>
      <c r="BL36" s="149"/>
      <c r="BM36" s="149"/>
      <c r="BN36" s="149"/>
      <c r="BO36" s="149"/>
      <c r="BP36" s="149"/>
      <c r="BQ36" s="149"/>
      <c r="BR36" s="149"/>
      <c r="BS36" s="149"/>
      <c r="BT36" s="149"/>
      <c r="BU36" s="149"/>
      <c r="BV36" s="149">
        <v>0</v>
      </c>
      <c r="BW36" s="149"/>
      <c r="BX36" s="149"/>
      <c r="BY36" s="149"/>
      <c r="BZ36" s="149"/>
      <c r="CA36" s="149"/>
      <c r="CB36" s="149"/>
      <c r="CC36" s="149"/>
      <c r="CD36" s="149"/>
      <c r="CE36" s="149"/>
      <c r="CF36" s="149"/>
      <c r="CG36" s="149">
        <f t="shared" si="26"/>
        <v>0</v>
      </c>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20">
        <f t="shared" si="9"/>
        <v>0</v>
      </c>
      <c r="DD36" s="11"/>
      <c r="DE36" s="11"/>
      <c r="DF36" s="11"/>
      <c r="DG36" s="11"/>
      <c r="DH36" s="11"/>
      <c r="DI36" s="11"/>
      <c r="DJ36" s="11"/>
      <c r="DK36" s="11"/>
      <c r="DL36" s="11"/>
      <c r="DM36" s="11"/>
      <c r="DN36" s="11"/>
      <c r="DO36" s="11">
        <v>0</v>
      </c>
      <c r="DP36" s="11"/>
      <c r="DQ36" s="11"/>
      <c r="DR36" s="11"/>
      <c r="DS36" s="11"/>
      <c r="DT36" s="11"/>
      <c r="DU36" s="11"/>
      <c r="DV36" s="11"/>
      <c r="DW36" s="11"/>
      <c r="DX36" s="11"/>
    </row>
    <row r="37" spans="1:128" ht="65.25" customHeight="1" x14ac:dyDescent="0.2">
      <c r="A37" s="86" t="s">
        <v>345</v>
      </c>
      <c r="B37" s="74">
        <v>2554</v>
      </c>
      <c r="C37" s="21"/>
      <c r="D37" s="21"/>
      <c r="E37" s="21"/>
      <c r="F37" s="21"/>
      <c r="G37" s="21"/>
      <c r="H37" s="21"/>
      <c r="I37" s="21"/>
      <c r="J37" s="21"/>
      <c r="K37" s="21"/>
      <c r="L37" s="105" t="s">
        <v>20</v>
      </c>
      <c r="M37" s="17" t="s">
        <v>29</v>
      </c>
      <c r="N37" s="149">
        <f t="shared" si="24"/>
        <v>330</v>
      </c>
      <c r="O37" s="149"/>
      <c r="P37" s="149"/>
      <c r="Q37" s="149"/>
      <c r="R37" s="149">
        <v>330</v>
      </c>
      <c r="S37" s="149"/>
      <c r="T37" s="149"/>
      <c r="U37" s="149"/>
      <c r="V37" s="149"/>
      <c r="W37" s="149"/>
      <c r="X37" s="149"/>
      <c r="Y37" s="149"/>
      <c r="Z37" s="149"/>
      <c r="AA37" s="149"/>
      <c r="AB37" s="149"/>
      <c r="AC37" s="149"/>
      <c r="AD37" s="149"/>
      <c r="AE37" s="149"/>
      <c r="AF37" s="149"/>
      <c r="AG37" s="149"/>
      <c r="AH37" s="149"/>
      <c r="AI37" s="149"/>
      <c r="AJ37" s="149"/>
      <c r="AK37" s="149"/>
      <c r="AL37" s="149">
        <f t="shared" si="22"/>
        <v>330</v>
      </c>
      <c r="AM37" s="149"/>
      <c r="AN37" s="149"/>
      <c r="AO37" s="149"/>
      <c r="AP37" s="149">
        <v>330</v>
      </c>
      <c r="AQ37" s="149"/>
      <c r="AR37" s="149"/>
      <c r="AS37" s="149"/>
      <c r="AT37" s="149"/>
      <c r="AU37" s="149"/>
      <c r="AV37" s="149"/>
      <c r="AW37" s="149"/>
      <c r="AX37" s="149"/>
      <c r="AY37" s="149"/>
      <c r="AZ37" s="149"/>
      <c r="BA37" s="149"/>
      <c r="BB37" s="149"/>
      <c r="BC37" s="149"/>
      <c r="BD37" s="149"/>
      <c r="BE37" s="149"/>
      <c r="BF37" s="149"/>
      <c r="BG37" s="149"/>
      <c r="BH37" s="149"/>
      <c r="BI37" s="149"/>
      <c r="BJ37" s="149">
        <f t="shared" si="25"/>
        <v>300</v>
      </c>
      <c r="BK37" s="149"/>
      <c r="BL37" s="149"/>
      <c r="BM37" s="149"/>
      <c r="BN37" s="149">
        <v>300</v>
      </c>
      <c r="BO37" s="149"/>
      <c r="BP37" s="149"/>
      <c r="BQ37" s="149"/>
      <c r="BR37" s="149"/>
      <c r="BS37" s="149"/>
      <c r="BT37" s="149"/>
      <c r="BU37" s="149"/>
      <c r="BV37" s="149"/>
      <c r="BW37" s="149"/>
      <c r="BX37" s="149"/>
      <c r="BY37" s="149"/>
      <c r="BZ37" s="149"/>
      <c r="CA37" s="149"/>
      <c r="CB37" s="149"/>
      <c r="CC37" s="149"/>
      <c r="CD37" s="149"/>
      <c r="CE37" s="149"/>
      <c r="CF37" s="149"/>
      <c r="CG37" s="149">
        <f t="shared" si="26"/>
        <v>312</v>
      </c>
      <c r="CH37" s="149"/>
      <c r="CI37" s="149"/>
      <c r="CJ37" s="149"/>
      <c r="CK37" s="149">
        <v>312</v>
      </c>
      <c r="CL37" s="149"/>
      <c r="CM37" s="149"/>
      <c r="CN37" s="149"/>
      <c r="CO37" s="149"/>
      <c r="CP37" s="149"/>
      <c r="CQ37" s="149"/>
      <c r="CR37" s="149"/>
      <c r="CS37" s="149"/>
      <c r="CT37" s="149"/>
      <c r="CU37" s="149"/>
      <c r="CV37" s="149"/>
      <c r="CW37" s="149"/>
      <c r="CX37" s="149"/>
      <c r="CY37" s="149"/>
      <c r="CZ37" s="149"/>
      <c r="DA37" s="149"/>
      <c r="DB37" s="149"/>
      <c r="DC37" s="120">
        <f t="shared" si="9"/>
        <v>324.5</v>
      </c>
      <c r="DD37" s="11"/>
      <c r="DE37" s="11"/>
      <c r="DF37" s="11"/>
      <c r="DG37" s="11">
        <v>324.5</v>
      </c>
      <c r="DH37" s="11"/>
      <c r="DI37" s="11"/>
      <c r="DJ37" s="11"/>
      <c r="DK37" s="11"/>
      <c r="DL37" s="11"/>
      <c r="DM37" s="11"/>
      <c r="DN37" s="11"/>
      <c r="DO37" s="11"/>
      <c r="DP37" s="11"/>
      <c r="DQ37" s="11"/>
      <c r="DR37" s="11"/>
      <c r="DS37" s="11"/>
      <c r="DT37" s="11"/>
      <c r="DU37" s="11"/>
      <c r="DV37" s="11"/>
      <c r="DW37" s="11"/>
      <c r="DX37" s="11"/>
    </row>
    <row r="38" spans="1:128" ht="96" x14ac:dyDescent="0.2">
      <c r="A38" s="86" t="s">
        <v>346</v>
      </c>
      <c r="B38" s="74">
        <v>2555</v>
      </c>
      <c r="C38" s="21" t="s">
        <v>109</v>
      </c>
      <c r="D38" s="21" t="s">
        <v>110</v>
      </c>
      <c r="E38" s="21" t="s">
        <v>174</v>
      </c>
      <c r="F38" s="41"/>
      <c r="G38" s="41"/>
      <c r="H38" s="41"/>
      <c r="I38" s="21" t="s">
        <v>205</v>
      </c>
      <c r="J38" s="21" t="s">
        <v>63</v>
      </c>
      <c r="K38" s="35" t="s">
        <v>197</v>
      </c>
      <c r="L38" s="17" t="s">
        <v>22</v>
      </c>
      <c r="M38" s="17" t="s">
        <v>35</v>
      </c>
      <c r="N38" s="149">
        <f t="shared" si="24"/>
        <v>0</v>
      </c>
      <c r="O38" s="149"/>
      <c r="P38" s="149"/>
      <c r="Q38" s="149"/>
      <c r="R38" s="149"/>
      <c r="S38" s="149"/>
      <c r="T38" s="149"/>
      <c r="U38" s="149"/>
      <c r="V38" s="149">
        <v>0</v>
      </c>
      <c r="W38" s="149"/>
      <c r="X38" s="149"/>
      <c r="Y38" s="149"/>
      <c r="Z38" s="149"/>
      <c r="AA38" s="149"/>
      <c r="AB38" s="149"/>
      <c r="AC38" s="149"/>
      <c r="AD38" s="149"/>
      <c r="AE38" s="149"/>
      <c r="AF38" s="149"/>
      <c r="AG38" s="149"/>
      <c r="AH38" s="149"/>
      <c r="AI38" s="149"/>
      <c r="AJ38" s="149"/>
      <c r="AK38" s="149"/>
      <c r="AL38" s="149">
        <f t="shared" si="22"/>
        <v>0</v>
      </c>
      <c r="AM38" s="149"/>
      <c r="AN38" s="149"/>
      <c r="AO38" s="149"/>
      <c r="AP38" s="149"/>
      <c r="AQ38" s="149"/>
      <c r="AR38" s="149"/>
      <c r="AS38" s="149"/>
      <c r="AT38" s="149">
        <v>0</v>
      </c>
      <c r="AU38" s="149"/>
      <c r="AV38" s="149"/>
      <c r="AW38" s="149"/>
      <c r="AX38" s="149"/>
      <c r="AY38" s="149"/>
      <c r="AZ38" s="149"/>
      <c r="BA38" s="149"/>
      <c r="BB38" s="149"/>
      <c r="BC38" s="149"/>
      <c r="BD38" s="149"/>
      <c r="BE38" s="149"/>
      <c r="BF38" s="149"/>
      <c r="BG38" s="149"/>
      <c r="BH38" s="149"/>
      <c r="BI38" s="149"/>
      <c r="BJ38" s="149">
        <f t="shared" si="25"/>
        <v>0</v>
      </c>
      <c r="BK38" s="149"/>
      <c r="BL38" s="149"/>
      <c r="BM38" s="149"/>
      <c r="BN38" s="149"/>
      <c r="BO38" s="149"/>
      <c r="BP38" s="149"/>
      <c r="BQ38" s="149"/>
      <c r="BR38" s="149">
        <v>0</v>
      </c>
      <c r="BS38" s="149"/>
      <c r="BT38" s="149"/>
      <c r="BU38" s="149"/>
      <c r="BV38" s="149"/>
      <c r="BW38" s="149"/>
      <c r="BX38" s="149"/>
      <c r="BY38" s="149"/>
      <c r="BZ38" s="149"/>
      <c r="CA38" s="149"/>
      <c r="CB38" s="149"/>
      <c r="CC38" s="149"/>
      <c r="CD38" s="149"/>
      <c r="CE38" s="149"/>
      <c r="CF38" s="149"/>
      <c r="CG38" s="149">
        <f t="shared" si="26"/>
        <v>0</v>
      </c>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20">
        <f t="shared" si="9"/>
        <v>0</v>
      </c>
      <c r="DD38" s="11"/>
      <c r="DE38" s="11"/>
      <c r="DF38" s="11"/>
      <c r="DG38" s="11"/>
      <c r="DH38" s="11"/>
      <c r="DI38" s="11"/>
      <c r="DJ38" s="11"/>
      <c r="DK38" s="11">
        <v>0</v>
      </c>
      <c r="DL38" s="11"/>
      <c r="DM38" s="11"/>
      <c r="DN38" s="11"/>
      <c r="DO38" s="11"/>
      <c r="DP38" s="11"/>
      <c r="DQ38" s="11"/>
      <c r="DR38" s="11"/>
      <c r="DS38" s="11"/>
      <c r="DT38" s="11"/>
      <c r="DU38" s="11"/>
      <c r="DV38" s="11"/>
      <c r="DW38" s="11"/>
      <c r="DX38" s="11"/>
    </row>
    <row r="39" spans="1:128" ht="33.75" x14ac:dyDescent="0.2">
      <c r="A39" s="86" t="s">
        <v>347</v>
      </c>
      <c r="B39" s="74">
        <v>2557</v>
      </c>
      <c r="C39" s="21"/>
      <c r="D39" s="21"/>
      <c r="E39" s="21"/>
      <c r="F39" s="41"/>
      <c r="G39" s="41"/>
      <c r="H39" s="41"/>
      <c r="I39" s="21"/>
      <c r="J39" s="21"/>
      <c r="K39" s="35"/>
      <c r="L39" s="17" t="s">
        <v>22</v>
      </c>
      <c r="M39" s="17" t="s">
        <v>35</v>
      </c>
      <c r="N39" s="149">
        <f t="shared" si="24"/>
        <v>343.2</v>
      </c>
      <c r="O39" s="149"/>
      <c r="P39" s="149"/>
      <c r="Q39" s="149"/>
      <c r="R39" s="149"/>
      <c r="S39" s="149"/>
      <c r="T39" s="149"/>
      <c r="U39" s="149"/>
      <c r="V39" s="149">
        <v>343.2</v>
      </c>
      <c r="W39" s="149"/>
      <c r="X39" s="149"/>
      <c r="Y39" s="149"/>
      <c r="Z39" s="149"/>
      <c r="AA39" s="149"/>
      <c r="AB39" s="149"/>
      <c r="AC39" s="149"/>
      <c r="AD39" s="149"/>
      <c r="AE39" s="149"/>
      <c r="AF39" s="149"/>
      <c r="AG39" s="149"/>
      <c r="AH39" s="149"/>
      <c r="AI39" s="149"/>
      <c r="AJ39" s="149"/>
      <c r="AK39" s="149"/>
      <c r="AL39" s="149">
        <f t="shared" si="22"/>
        <v>280.89999999999998</v>
      </c>
      <c r="AM39" s="149"/>
      <c r="AN39" s="149"/>
      <c r="AO39" s="149"/>
      <c r="AP39" s="149"/>
      <c r="AQ39" s="149"/>
      <c r="AR39" s="149"/>
      <c r="AS39" s="149"/>
      <c r="AT39" s="149">
        <v>280.89999999999998</v>
      </c>
      <c r="AU39" s="149"/>
      <c r="AV39" s="149"/>
      <c r="AW39" s="149"/>
      <c r="AX39" s="149"/>
      <c r="AY39" s="149"/>
      <c r="AZ39" s="149"/>
      <c r="BA39" s="149"/>
      <c r="BB39" s="149"/>
      <c r="BC39" s="149"/>
      <c r="BD39" s="149"/>
      <c r="BE39" s="149"/>
      <c r="BF39" s="149"/>
      <c r="BG39" s="149"/>
      <c r="BH39" s="149"/>
      <c r="BI39" s="149"/>
      <c r="BJ39" s="149">
        <f t="shared" si="25"/>
        <v>290</v>
      </c>
      <c r="BK39" s="149"/>
      <c r="BL39" s="149"/>
      <c r="BM39" s="149"/>
      <c r="BN39" s="149"/>
      <c r="BO39" s="149"/>
      <c r="BP39" s="149"/>
      <c r="BQ39" s="149"/>
      <c r="BR39" s="149">
        <v>290</v>
      </c>
      <c r="BS39" s="149"/>
      <c r="BT39" s="149"/>
      <c r="BU39" s="149"/>
      <c r="BV39" s="149"/>
      <c r="BW39" s="149"/>
      <c r="BX39" s="149"/>
      <c r="BY39" s="149"/>
      <c r="BZ39" s="149"/>
      <c r="CA39" s="149"/>
      <c r="CB39" s="149"/>
      <c r="CC39" s="149"/>
      <c r="CD39" s="149"/>
      <c r="CE39" s="149"/>
      <c r="CF39" s="149"/>
      <c r="CG39" s="149">
        <f t="shared" si="26"/>
        <v>290</v>
      </c>
      <c r="CH39" s="149"/>
      <c r="CI39" s="149"/>
      <c r="CJ39" s="149"/>
      <c r="CK39" s="149"/>
      <c r="CL39" s="149"/>
      <c r="CM39" s="149"/>
      <c r="CN39" s="149"/>
      <c r="CO39" s="149">
        <v>290</v>
      </c>
      <c r="CP39" s="149"/>
      <c r="CQ39" s="149"/>
      <c r="CR39" s="149"/>
      <c r="CS39" s="149"/>
      <c r="CT39" s="149"/>
      <c r="CU39" s="149"/>
      <c r="CV39" s="149"/>
      <c r="CW39" s="149"/>
      <c r="CX39" s="149"/>
      <c r="CY39" s="149"/>
      <c r="CZ39" s="149"/>
      <c r="DA39" s="149"/>
      <c r="DB39" s="149"/>
      <c r="DC39" s="120">
        <f t="shared" si="9"/>
        <v>290</v>
      </c>
      <c r="DD39" s="11"/>
      <c r="DE39" s="11"/>
      <c r="DF39" s="11"/>
      <c r="DG39" s="11"/>
      <c r="DH39" s="11"/>
      <c r="DI39" s="11"/>
      <c r="DJ39" s="11"/>
      <c r="DK39" s="11">
        <v>290</v>
      </c>
      <c r="DL39" s="11"/>
      <c r="DM39" s="11"/>
      <c r="DN39" s="11"/>
      <c r="DO39" s="11"/>
      <c r="DP39" s="11"/>
      <c r="DQ39" s="11"/>
      <c r="DR39" s="11"/>
      <c r="DS39" s="11"/>
      <c r="DT39" s="11"/>
      <c r="DU39" s="11"/>
      <c r="DV39" s="11"/>
      <c r="DW39" s="11"/>
      <c r="DX39" s="11"/>
    </row>
    <row r="40" spans="1:128" ht="45" x14ac:dyDescent="0.2">
      <c r="A40" s="86" t="s">
        <v>348</v>
      </c>
      <c r="B40" s="74">
        <v>2561</v>
      </c>
      <c r="C40" s="21"/>
      <c r="D40" s="21"/>
      <c r="E40" s="21"/>
      <c r="F40" s="41"/>
      <c r="G40" s="41"/>
      <c r="H40" s="41"/>
      <c r="I40" s="21"/>
      <c r="J40" s="21"/>
      <c r="K40" s="35"/>
      <c r="L40" s="17" t="s">
        <v>24</v>
      </c>
      <c r="M40" s="17" t="s">
        <v>272</v>
      </c>
      <c r="N40" s="149">
        <f t="shared" si="24"/>
        <v>3022.7999999999997</v>
      </c>
      <c r="O40" s="149"/>
      <c r="P40" s="149"/>
      <c r="Q40" s="149"/>
      <c r="R40" s="149"/>
      <c r="S40" s="149"/>
      <c r="T40" s="149"/>
      <c r="U40" s="149"/>
      <c r="V40" s="149"/>
      <c r="W40" s="149"/>
      <c r="X40" s="149"/>
      <c r="Y40" s="149"/>
      <c r="Z40" s="149">
        <f>107.1+2915.7</f>
        <v>3022.7999999999997</v>
      </c>
      <c r="AA40" s="149"/>
      <c r="AB40" s="149"/>
      <c r="AC40" s="149"/>
      <c r="AD40" s="149"/>
      <c r="AE40" s="149"/>
      <c r="AF40" s="149"/>
      <c r="AG40" s="149"/>
      <c r="AH40" s="149"/>
      <c r="AI40" s="149"/>
      <c r="AJ40" s="149"/>
      <c r="AK40" s="149"/>
      <c r="AL40" s="149">
        <f t="shared" si="22"/>
        <v>3022.7999999999997</v>
      </c>
      <c r="AM40" s="149"/>
      <c r="AN40" s="149"/>
      <c r="AO40" s="149"/>
      <c r="AP40" s="149"/>
      <c r="AQ40" s="149"/>
      <c r="AR40" s="149"/>
      <c r="AS40" s="149"/>
      <c r="AT40" s="149"/>
      <c r="AU40" s="149"/>
      <c r="AV40" s="149"/>
      <c r="AW40" s="149"/>
      <c r="AX40" s="149">
        <f>107.1+2915.7</f>
        <v>3022.7999999999997</v>
      </c>
      <c r="AY40" s="149"/>
      <c r="AZ40" s="149"/>
      <c r="BA40" s="149"/>
      <c r="BB40" s="149"/>
      <c r="BC40" s="149"/>
      <c r="BD40" s="149"/>
      <c r="BE40" s="149"/>
      <c r="BF40" s="149"/>
      <c r="BG40" s="149"/>
      <c r="BH40" s="149"/>
      <c r="BI40" s="149"/>
      <c r="BJ40" s="149">
        <f t="shared" si="25"/>
        <v>3899.8999999999996</v>
      </c>
      <c r="BK40" s="149"/>
      <c r="BL40" s="149"/>
      <c r="BM40" s="149"/>
      <c r="BN40" s="149"/>
      <c r="BO40" s="149"/>
      <c r="BP40" s="149"/>
      <c r="BQ40" s="149"/>
      <c r="BR40" s="149"/>
      <c r="BS40" s="149"/>
      <c r="BT40" s="149"/>
      <c r="BU40" s="149"/>
      <c r="BV40" s="149">
        <f>588.8+3311.1</f>
        <v>3899.8999999999996</v>
      </c>
      <c r="BW40" s="149"/>
      <c r="BX40" s="149"/>
      <c r="BY40" s="149"/>
      <c r="BZ40" s="149"/>
      <c r="CA40" s="149"/>
      <c r="CB40" s="149"/>
      <c r="CC40" s="149"/>
      <c r="CD40" s="149"/>
      <c r="CE40" s="149"/>
      <c r="CF40" s="149"/>
      <c r="CG40" s="149">
        <f t="shared" si="26"/>
        <v>516</v>
      </c>
      <c r="CH40" s="149"/>
      <c r="CI40" s="149"/>
      <c r="CJ40" s="149"/>
      <c r="CK40" s="149"/>
      <c r="CL40" s="149"/>
      <c r="CM40" s="149"/>
      <c r="CN40" s="149"/>
      <c r="CO40" s="149"/>
      <c r="CP40" s="149"/>
      <c r="CQ40" s="149"/>
      <c r="CR40" s="149"/>
      <c r="CS40" s="149">
        <v>516</v>
      </c>
      <c r="CT40" s="149"/>
      <c r="CU40" s="149"/>
      <c r="CV40" s="149"/>
      <c r="CW40" s="149"/>
      <c r="CX40" s="149"/>
      <c r="CY40" s="149"/>
      <c r="CZ40" s="149"/>
      <c r="DA40" s="149"/>
      <c r="DB40" s="149"/>
      <c r="DC40" s="120">
        <f t="shared" ref="DC40:DC71" si="27">SUM(DD40:DX40)</f>
        <v>537</v>
      </c>
      <c r="DD40" s="11"/>
      <c r="DE40" s="11"/>
      <c r="DF40" s="11"/>
      <c r="DG40" s="11"/>
      <c r="DH40" s="11"/>
      <c r="DI40" s="11"/>
      <c r="DJ40" s="11"/>
      <c r="DK40" s="11"/>
      <c r="DL40" s="11"/>
      <c r="DM40" s="11"/>
      <c r="DN40" s="11"/>
      <c r="DO40" s="11">
        <v>537</v>
      </c>
      <c r="DP40" s="11"/>
      <c r="DQ40" s="11"/>
      <c r="DR40" s="11"/>
      <c r="DS40" s="11"/>
      <c r="DT40" s="11"/>
      <c r="DU40" s="11"/>
      <c r="DV40" s="11"/>
      <c r="DW40" s="11"/>
      <c r="DX40" s="11"/>
    </row>
    <row r="41" spans="1:128" ht="73.5" x14ac:dyDescent="0.2">
      <c r="A41" s="60" t="s">
        <v>349</v>
      </c>
      <c r="B41" s="64" t="s">
        <v>350</v>
      </c>
      <c r="C41" s="66" t="s">
        <v>10</v>
      </c>
      <c r="D41" s="67" t="s">
        <v>10</v>
      </c>
      <c r="E41" s="67" t="s">
        <v>10</v>
      </c>
      <c r="F41" s="66" t="s">
        <v>10</v>
      </c>
      <c r="G41" s="67" t="s">
        <v>10</v>
      </c>
      <c r="H41" s="67" t="s">
        <v>10</v>
      </c>
      <c r="I41" s="66" t="s">
        <v>10</v>
      </c>
      <c r="J41" s="67" t="s">
        <v>10</v>
      </c>
      <c r="K41" s="67" t="s">
        <v>10</v>
      </c>
      <c r="L41" s="64" t="s">
        <v>10</v>
      </c>
      <c r="M41" s="64" t="s">
        <v>10</v>
      </c>
      <c r="N41" s="120">
        <f>SUM(N42+N43+N44+N45+N51+N52+N53)</f>
        <v>96526.300000000017</v>
      </c>
      <c r="O41" s="120">
        <f>O42+O43+O45+O51+O52+O53+O44</f>
        <v>2429.9</v>
      </c>
      <c r="P41" s="120">
        <f t="shared" ref="P41:AJ41" si="28">P42+P43+P45+P51+P52+P53</f>
        <v>38828</v>
      </c>
      <c r="Q41" s="120">
        <f t="shared" si="28"/>
        <v>0</v>
      </c>
      <c r="R41" s="120">
        <f>R42+R43+R45+R51+R52+R53+R44</f>
        <v>44420.800000000003</v>
      </c>
      <c r="S41" s="120">
        <f t="shared" si="28"/>
        <v>0</v>
      </c>
      <c r="T41" s="120">
        <f t="shared" si="28"/>
        <v>0</v>
      </c>
      <c r="U41" s="120">
        <f t="shared" si="28"/>
        <v>0</v>
      </c>
      <c r="V41" s="120">
        <f t="shared" si="28"/>
        <v>0</v>
      </c>
      <c r="W41" s="120">
        <f t="shared" si="28"/>
        <v>0</v>
      </c>
      <c r="X41" s="120">
        <f t="shared" si="28"/>
        <v>0</v>
      </c>
      <c r="Y41" s="120">
        <f t="shared" si="28"/>
        <v>0</v>
      </c>
      <c r="Z41" s="120">
        <f t="shared" si="28"/>
        <v>2804.1</v>
      </c>
      <c r="AA41" s="120">
        <f t="shared" si="28"/>
        <v>0</v>
      </c>
      <c r="AB41" s="120">
        <f t="shared" si="28"/>
        <v>0</v>
      </c>
      <c r="AC41" s="120">
        <f t="shared" si="28"/>
        <v>0</v>
      </c>
      <c r="AD41" s="120">
        <f t="shared" si="28"/>
        <v>8043.5</v>
      </c>
      <c r="AE41" s="120">
        <f t="shared" si="28"/>
        <v>0</v>
      </c>
      <c r="AF41" s="120">
        <f t="shared" si="28"/>
        <v>0</v>
      </c>
      <c r="AG41" s="120">
        <f t="shared" si="28"/>
        <v>0</v>
      </c>
      <c r="AH41" s="120">
        <f t="shared" si="28"/>
        <v>0</v>
      </c>
      <c r="AI41" s="120">
        <f t="shared" si="28"/>
        <v>0</v>
      </c>
      <c r="AJ41" s="120">
        <f t="shared" si="28"/>
        <v>0</v>
      </c>
      <c r="AK41" s="120">
        <f t="shared" ref="AK41" si="29">AK42+AK43+AK45+AK51+AK52+AK53</f>
        <v>0</v>
      </c>
      <c r="AL41" s="120">
        <f>SUM(AL42+AL43+AL44+AL45+AL51+AL52+AL53)</f>
        <v>96474.46</v>
      </c>
      <c r="AM41" s="120">
        <f>AM42+AM43+AM45+AM51+AM52+AM53+AM44</f>
        <v>2429.9</v>
      </c>
      <c r="AN41" s="120">
        <f t="shared" ref="AN41:BI41" si="30">AN42+AN43+AN45+AN51+AN52+AN53</f>
        <v>38797.56</v>
      </c>
      <c r="AO41" s="120">
        <f t="shared" si="30"/>
        <v>0</v>
      </c>
      <c r="AP41" s="120">
        <f>AP42+AP43+AP45+AP51+AP52+AP53+AP44</f>
        <v>44403.6</v>
      </c>
      <c r="AQ41" s="120">
        <f t="shared" si="30"/>
        <v>0</v>
      </c>
      <c r="AR41" s="120">
        <f t="shared" si="30"/>
        <v>0</v>
      </c>
      <c r="AS41" s="120">
        <f t="shared" si="30"/>
        <v>0</v>
      </c>
      <c r="AT41" s="120">
        <f t="shared" si="30"/>
        <v>0</v>
      </c>
      <c r="AU41" s="120">
        <f t="shared" si="30"/>
        <v>0</v>
      </c>
      <c r="AV41" s="120">
        <f t="shared" si="30"/>
        <v>0</v>
      </c>
      <c r="AW41" s="120">
        <f t="shared" si="30"/>
        <v>0</v>
      </c>
      <c r="AX41" s="120">
        <f t="shared" si="30"/>
        <v>2804.1</v>
      </c>
      <c r="AY41" s="120">
        <f t="shared" si="30"/>
        <v>0</v>
      </c>
      <c r="AZ41" s="120">
        <f t="shared" si="30"/>
        <v>0</v>
      </c>
      <c r="BA41" s="120">
        <f t="shared" si="30"/>
        <v>0</v>
      </c>
      <c r="BB41" s="120">
        <f t="shared" si="30"/>
        <v>8039.3</v>
      </c>
      <c r="BC41" s="120">
        <f t="shared" si="30"/>
        <v>0</v>
      </c>
      <c r="BD41" s="120">
        <f t="shared" si="30"/>
        <v>0</v>
      </c>
      <c r="BE41" s="120">
        <f t="shared" si="30"/>
        <v>0</v>
      </c>
      <c r="BF41" s="120">
        <f t="shared" si="30"/>
        <v>0</v>
      </c>
      <c r="BG41" s="120">
        <f t="shared" si="30"/>
        <v>0</v>
      </c>
      <c r="BH41" s="120">
        <f t="shared" si="30"/>
        <v>0</v>
      </c>
      <c r="BI41" s="120">
        <f t="shared" si="30"/>
        <v>0</v>
      </c>
      <c r="BJ41" s="120">
        <f t="shared" si="25"/>
        <v>94312.180000000008</v>
      </c>
      <c r="BK41" s="120">
        <f>BK42+BK43+BK45+BK51+BK52+BK53+BK44</f>
        <v>2036.9</v>
      </c>
      <c r="BL41" s="120">
        <f t="shared" ref="BL41:CE41" si="31">BL42+BL43+BL45+BL51+BL52+BL53</f>
        <v>41872.800000000003</v>
      </c>
      <c r="BM41" s="120">
        <f t="shared" si="31"/>
        <v>0</v>
      </c>
      <c r="BN41" s="120">
        <f>BN42+BN43+BN45+BN51+BN52+BN53+BN44</f>
        <v>31761.18</v>
      </c>
      <c r="BO41" s="120">
        <f t="shared" si="31"/>
        <v>0</v>
      </c>
      <c r="BP41" s="120">
        <f t="shared" si="31"/>
        <v>0</v>
      </c>
      <c r="BQ41" s="120">
        <f>BQ42+BQ43+BQ45+BQ51+BQ52+BQ53</f>
        <v>0</v>
      </c>
      <c r="BR41" s="120">
        <f t="shared" si="31"/>
        <v>0</v>
      </c>
      <c r="BS41" s="120">
        <f t="shared" si="31"/>
        <v>0</v>
      </c>
      <c r="BT41" s="120">
        <f t="shared" si="31"/>
        <v>0</v>
      </c>
      <c r="BU41" s="120">
        <f t="shared" si="31"/>
        <v>0</v>
      </c>
      <c r="BV41" s="120">
        <f t="shared" si="31"/>
        <v>2894.5</v>
      </c>
      <c r="BW41" s="120">
        <f>BW42+BW43+BW45+BW51+BW52+BW53</f>
        <v>0</v>
      </c>
      <c r="BX41" s="120">
        <f t="shared" si="31"/>
        <v>0</v>
      </c>
      <c r="BY41" s="120">
        <f>BY42+BY43+BY45+BY51+BY52+BY53</f>
        <v>0</v>
      </c>
      <c r="BZ41" s="120">
        <f>BZ42+BZ43+BZ45+BZ51+BZ52+BZ53</f>
        <v>15746.8</v>
      </c>
      <c r="CA41" s="120">
        <f>CA42+CA43+CA45+CA51+CA52+CA53</f>
        <v>0</v>
      </c>
      <c r="CB41" s="120">
        <f t="shared" si="31"/>
        <v>0</v>
      </c>
      <c r="CC41" s="120">
        <f t="shared" si="31"/>
        <v>0</v>
      </c>
      <c r="CD41" s="120">
        <f t="shared" si="31"/>
        <v>0</v>
      </c>
      <c r="CE41" s="120">
        <f t="shared" si="31"/>
        <v>0</v>
      </c>
      <c r="CF41" s="120">
        <f t="shared" ref="CF41" si="32">CF42+CF43+CF45+CF51+CF52+CF53</f>
        <v>0</v>
      </c>
      <c r="CG41" s="120">
        <f t="shared" si="26"/>
        <v>92333.900000000009</v>
      </c>
      <c r="CH41" s="120">
        <f>CH42+CH43+CH45+CH51+CH52+CH53+CH44</f>
        <v>2036.9</v>
      </c>
      <c r="CI41" s="120">
        <f t="shared" ref="CI41:CV41" si="33">CI42+CI43+CI45+CI51+CI52+CI53</f>
        <v>41872.800000000003</v>
      </c>
      <c r="CJ41" s="120">
        <f t="shared" si="33"/>
        <v>0</v>
      </c>
      <c r="CK41" s="120">
        <f t="shared" si="33"/>
        <v>29782.9</v>
      </c>
      <c r="CL41" s="120">
        <f>CL42+CL43+CL45+CL51+CL52+CL53</f>
        <v>0</v>
      </c>
      <c r="CM41" s="120">
        <f t="shared" si="33"/>
        <v>0</v>
      </c>
      <c r="CN41" s="120">
        <f t="shared" si="33"/>
        <v>0</v>
      </c>
      <c r="CO41" s="120">
        <f t="shared" si="33"/>
        <v>0</v>
      </c>
      <c r="CP41" s="120">
        <f t="shared" si="33"/>
        <v>0</v>
      </c>
      <c r="CQ41" s="120">
        <f t="shared" si="33"/>
        <v>0</v>
      </c>
      <c r="CR41" s="120">
        <f t="shared" si="33"/>
        <v>0</v>
      </c>
      <c r="CS41" s="120">
        <f t="shared" si="33"/>
        <v>2894.5</v>
      </c>
      <c r="CT41" s="120">
        <f t="shared" si="33"/>
        <v>0</v>
      </c>
      <c r="CU41" s="120">
        <f t="shared" si="33"/>
        <v>0</v>
      </c>
      <c r="CV41" s="120">
        <f t="shared" si="33"/>
        <v>0</v>
      </c>
      <c r="CW41" s="120">
        <f t="shared" ref="CW41:DB41" si="34">CW42+CW43+CW45+CW51+CW52+CW53</f>
        <v>15746.8</v>
      </c>
      <c r="CX41" s="120">
        <f t="shared" si="34"/>
        <v>0</v>
      </c>
      <c r="CY41" s="120">
        <f t="shared" si="34"/>
        <v>0</v>
      </c>
      <c r="CZ41" s="120">
        <f t="shared" si="34"/>
        <v>0</v>
      </c>
      <c r="DA41" s="120">
        <f t="shared" si="34"/>
        <v>0</v>
      </c>
      <c r="DB41" s="120">
        <f t="shared" si="34"/>
        <v>0</v>
      </c>
      <c r="DC41" s="120">
        <f t="shared" si="27"/>
        <v>92744.700000000012</v>
      </c>
      <c r="DD41" s="12">
        <f>DD42+DD43+DD45+DD51+DD52+DD53+DD44</f>
        <v>2036.9</v>
      </c>
      <c r="DE41" s="12">
        <f>DE42+DE43+DE45+DE51+DE52+DE53</f>
        <v>41872.800000000003</v>
      </c>
      <c r="DF41" s="12">
        <f>DF42+DF43+DF45+DF51+DF52+DF53</f>
        <v>0</v>
      </c>
      <c r="DG41" s="12">
        <f>DG42+DG43+DG45+DG51+DG52+DG53</f>
        <v>30193.7</v>
      </c>
      <c r="DH41" s="12">
        <f>DH42+DH43+DH45+DH51+DH52+DH53</f>
        <v>0</v>
      </c>
      <c r="DI41" s="12">
        <f t="shared" ref="DI41:DS41" si="35">DI42+DI43+DI45+DI51+DI52+DI53</f>
        <v>0</v>
      </c>
      <c r="DJ41" s="62">
        <f t="shared" si="35"/>
        <v>0</v>
      </c>
      <c r="DK41" s="62">
        <f t="shared" si="35"/>
        <v>0</v>
      </c>
      <c r="DL41" s="12">
        <f t="shared" si="35"/>
        <v>0</v>
      </c>
      <c r="DM41" s="12">
        <f t="shared" si="35"/>
        <v>0</v>
      </c>
      <c r="DN41" s="12">
        <f t="shared" si="35"/>
        <v>0</v>
      </c>
      <c r="DO41" s="62">
        <f t="shared" si="35"/>
        <v>2894.5</v>
      </c>
      <c r="DP41" s="62">
        <f t="shared" si="35"/>
        <v>0</v>
      </c>
      <c r="DQ41" s="62">
        <f t="shared" si="35"/>
        <v>0</v>
      </c>
      <c r="DR41" s="62">
        <f t="shared" si="35"/>
        <v>0</v>
      </c>
      <c r="DS41" s="12">
        <f t="shared" si="35"/>
        <v>15746.8</v>
      </c>
      <c r="DT41" s="12"/>
      <c r="DU41" s="12">
        <f t="shared" ref="DU41:DX41" si="36">DU42+DU43+DU45+DU51+DU52+DU53</f>
        <v>0</v>
      </c>
      <c r="DV41" s="12">
        <f t="shared" si="36"/>
        <v>0</v>
      </c>
      <c r="DW41" s="12">
        <f t="shared" si="36"/>
        <v>0</v>
      </c>
      <c r="DX41" s="12">
        <f t="shared" si="36"/>
        <v>0</v>
      </c>
    </row>
    <row r="42" spans="1:128" ht="54.75" customHeight="1" x14ac:dyDescent="0.2">
      <c r="A42" s="86" t="s">
        <v>351</v>
      </c>
      <c r="B42" s="8">
        <v>2601</v>
      </c>
      <c r="C42" s="21" t="s">
        <v>109</v>
      </c>
      <c r="D42" s="21" t="s">
        <v>150</v>
      </c>
      <c r="E42" s="21" t="s">
        <v>174</v>
      </c>
      <c r="F42" s="21" t="s">
        <v>181</v>
      </c>
      <c r="G42" s="21" t="s">
        <v>63</v>
      </c>
      <c r="H42" s="21" t="s">
        <v>182</v>
      </c>
      <c r="I42" s="21" t="s">
        <v>217</v>
      </c>
      <c r="J42" s="21" t="s">
        <v>218</v>
      </c>
      <c r="K42" s="21" t="s">
        <v>219</v>
      </c>
      <c r="L42" s="23" t="s">
        <v>144</v>
      </c>
      <c r="M42" s="23" t="s">
        <v>151</v>
      </c>
      <c r="N42" s="149">
        <f>SUM(O42:AJ42)</f>
        <v>11895.5</v>
      </c>
      <c r="O42" s="149"/>
      <c r="P42" s="149">
        <f>10320.6</f>
        <v>10320.6</v>
      </c>
      <c r="Q42" s="149"/>
      <c r="R42" s="149">
        <f>905.2+37.1+69.9+16.7+69.1+28.7+8.2+200+240</f>
        <v>1574.9</v>
      </c>
      <c r="S42" s="149"/>
      <c r="T42" s="149"/>
      <c r="U42" s="149"/>
      <c r="V42" s="149"/>
      <c r="W42" s="149"/>
      <c r="X42" s="149"/>
      <c r="Y42" s="149"/>
      <c r="Z42" s="149"/>
      <c r="AA42" s="149"/>
      <c r="AB42" s="149"/>
      <c r="AC42" s="149"/>
      <c r="AD42" s="149"/>
      <c r="AE42" s="149"/>
      <c r="AF42" s="149"/>
      <c r="AG42" s="149"/>
      <c r="AH42" s="149"/>
      <c r="AI42" s="149"/>
      <c r="AJ42" s="149"/>
      <c r="AK42" s="149"/>
      <c r="AL42" s="149">
        <f>SUM(AM42:BI42)</f>
        <v>11881.06</v>
      </c>
      <c r="AM42" s="149"/>
      <c r="AN42" s="149">
        <f>10320.56</f>
        <v>10320.56</v>
      </c>
      <c r="AO42" s="149"/>
      <c r="AP42" s="149">
        <f>905.3+37.1+67.2+16.7+69.1+17.2+8.2+199.7+240</f>
        <v>1560.5</v>
      </c>
      <c r="AQ42" s="149"/>
      <c r="AR42" s="149"/>
      <c r="AS42" s="149"/>
      <c r="AT42" s="149"/>
      <c r="AU42" s="149"/>
      <c r="AV42" s="149"/>
      <c r="AW42" s="149"/>
      <c r="AX42" s="149"/>
      <c r="AY42" s="149"/>
      <c r="AZ42" s="149"/>
      <c r="BA42" s="149"/>
      <c r="BB42" s="149"/>
      <c r="BC42" s="149"/>
      <c r="BD42" s="149"/>
      <c r="BE42" s="149"/>
      <c r="BF42" s="149"/>
      <c r="BG42" s="149"/>
      <c r="BH42" s="149"/>
      <c r="BI42" s="149"/>
      <c r="BJ42" s="149">
        <f t="shared" si="25"/>
        <v>12959.48</v>
      </c>
      <c r="BK42" s="149"/>
      <c r="BL42" s="149">
        <v>11462.8</v>
      </c>
      <c r="BM42" s="149"/>
      <c r="BN42" s="149">
        <f>799.3+35.88+84+137.5+200+240</f>
        <v>1496.6799999999998</v>
      </c>
      <c r="BO42" s="149"/>
      <c r="BP42" s="149"/>
      <c r="BQ42" s="149"/>
      <c r="BR42" s="149"/>
      <c r="BS42" s="149"/>
      <c r="BT42" s="149"/>
      <c r="BU42" s="149"/>
      <c r="BV42" s="149"/>
      <c r="BW42" s="149"/>
      <c r="BX42" s="149"/>
      <c r="BY42" s="149"/>
      <c r="BZ42" s="149"/>
      <c r="CA42" s="149"/>
      <c r="CB42" s="149"/>
      <c r="CC42" s="149"/>
      <c r="CD42" s="149"/>
      <c r="CE42" s="149"/>
      <c r="CF42" s="149"/>
      <c r="CG42" s="149">
        <f t="shared" si="26"/>
        <v>12722.199999999999</v>
      </c>
      <c r="CH42" s="149"/>
      <c r="CI42" s="149">
        <v>11462.8</v>
      </c>
      <c r="CJ42" s="149"/>
      <c r="CK42" s="149">
        <f>791.8+124.6+143+200</f>
        <v>1259.4000000000001</v>
      </c>
      <c r="CL42" s="149"/>
      <c r="CM42" s="149"/>
      <c r="CN42" s="149"/>
      <c r="CO42" s="149"/>
      <c r="CP42" s="149"/>
      <c r="CQ42" s="149"/>
      <c r="CR42" s="149"/>
      <c r="CS42" s="149"/>
      <c r="CT42" s="149"/>
      <c r="CU42" s="149"/>
      <c r="CV42" s="149"/>
      <c r="CW42" s="149"/>
      <c r="CX42" s="149"/>
      <c r="CY42" s="149"/>
      <c r="CZ42" s="149"/>
      <c r="DA42" s="149"/>
      <c r="DB42" s="149"/>
      <c r="DC42" s="120">
        <f t="shared" si="27"/>
        <v>12764.699999999999</v>
      </c>
      <c r="DD42" s="11"/>
      <c r="DE42" s="149">
        <v>11462.8</v>
      </c>
      <c r="DF42" s="11"/>
      <c r="DG42" s="11">
        <f>823.5+129.6+148.8+200</f>
        <v>1301.9000000000001</v>
      </c>
      <c r="DH42" s="11"/>
      <c r="DI42" s="11"/>
      <c r="DJ42" s="11"/>
      <c r="DK42" s="11"/>
      <c r="DL42" s="11"/>
      <c r="DM42" s="11"/>
      <c r="DN42" s="11"/>
      <c r="DO42" s="11"/>
      <c r="DP42" s="11"/>
      <c r="DQ42" s="11"/>
      <c r="DR42" s="11"/>
      <c r="DS42" s="11"/>
      <c r="DT42" s="11"/>
      <c r="DU42" s="11"/>
      <c r="DV42" s="11"/>
      <c r="DW42" s="11"/>
      <c r="DX42" s="11"/>
    </row>
    <row r="43" spans="1:128" ht="54.75" customHeight="1" x14ac:dyDescent="0.2">
      <c r="A43" s="86" t="s">
        <v>352</v>
      </c>
      <c r="B43" s="8">
        <v>2602</v>
      </c>
      <c r="C43" s="21"/>
      <c r="D43" s="21"/>
      <c r="E43" s="21"/>
      <c r="F43" s="21"/>
      <c r="G43" s="21"/>
      <c r="H43" s="21"/>
      <c r="I43" s="21"/>
      <c r="J43" s="21"/>
      <c r="K43" s="21"/>
      <c r="L43" s="23"/>
      <c r="M43" s="23"/>
      <c r="N43" s="149">
        <f>SUM(O43:AJ43)</f>
        <v>28323.3</v>
      </c>
      <c r="O43" s="149"/>
      <c r="P43" s="149">
        <f>28323.3</f>
        <v>28323.3</v>
      </c>
      <c r="Q43" s="149"/>
      <c r="R43" s="149">
        <v>0</v>
      </c>
      <c r="S43" s="149"/>
      <c r="T43" s="149"/>
      <c r="U43" s="149"/>
      <c r="V43" s="149"/>
      <c r="W43" s="149"/>
      <c r="X43" s="149"/>
      <c r="Y43" s="149"/>
      <c r="Z43" s="149"/>
      <c r="AA43" s="149"/>
      <c r="AB43" s="149"/>
      <c r="AC43" s="149"/>
      <c r="AD43" s="149"/>
      <c r="AE43" s="149"/>
      <c r="AF43" s="149"/>
      <c r="AG43" s="149"/>
      <c r="AH43" s="149"/>
      <c r="AI43" s="149"/>
      <c r="AJ43" s="149"/>
      <c r="AK43" s="149"/>
      <c r="AL43" s="149">
        <f>SUM(AM43:BI43)</f>
        <v>28323.3</v>
      </c>
      <c r="AM43" s="149"/>
      <c r="AN43" s="149">
        <f>28323.3</f>
        <v>28323.3</v>
      </c>
      <c r="AO43" s="149"/>
      <c r="AP43" s="149">
        <v>0</v>
      </c>
      <c r="AQ43" s="149"/>
      <c r="AR43" s="149"/>
      <c r="AS43" s="149"/>
      <c r="AT43" s="149"/>
      <c r="AU43" s="149"/>
      <c r="AV43" s="149"/>
      <c r="AW43" s="149"/>
      <c r="AX43" s="149"/>
      <c r="AY43" s="149"/>
      <c r="AZ43" s="149"/>
      <c r="BA43" s="149"/>
      <c r="BB43" s="149"/>
      <c r="BC43" s="149"/>
      <c r="BD43" s="149"/>
      <c r="BE43" s="149"/>
      <c r="BF43" s="149"/>
      <c r="BG43" s="149"/>
      <c r="BH43" s="149"/>
      <c r="BI43" s="149"/>
      <c r="BJ43" s="149">
        <f t="shared" si="25"/>
        <v>30410</v>
      </c>
      <c r="BK43" s="149"/>
      <c r="BL43" s="149">
        <v>30410</v>
      </c>
      <c r="BM43" s="149"/>
      <c r="BN43" s="149"/>
      <c r="BO43" s="149"/>
      <c r="BP43" s="149"/>
      <c r="BQ43" s="149"/>
      <c r="BR43" s="149"/>
      <c r="BS43" s="149"/>
      <c r="BT43" s="149"/>
      <c r="BU43" s="149"/>
      <c r="BV43" s="149"/>
      <c r="BW43" s="149"/>
      <c r="BX43" s="149"/>
      <c r="BY43" s="149"/>
      <c r="BZ43" s="149"/>
      <c r="CA43" s="149"/>
      <c r="CB43" s="149"/>
      <c r="CC43" s="149"/>
      <c r="CD43" s="149"/>
      <c r="CE43" s="149"/>
      <c r="CF43" s="149"/>
      <c r="CG43" s="149">
        <f t="shared" si="26"/>
        <v>30410</v>
      </c>
      <c r="CH43" s="149">
        <v>0</v>
      </c>
      <c r="CI43" s="149">
        <v>30410</v>
      </c>
      <c r="CJ43" s="149"/>
      <c r="CK43" s="149"/>
      <c r="CL43" s="149"/>
      <c r="CM43" s="149"/>
      <c r="CN43" s="149"/>
      <c r="CO43" s="149"/>
      <c r="CP43" s="149"/>
      <c r="CQ43" s="149"/>
      <c r="CR43" s="149"/>
      <c r="CS43" s="149"/>
      <c r="CT43" s="149"/>
      <c r="CU43" s="149"/>
      <c r="CV43" s="149"/>
      <c r="CW43" s="149"/>
      <c r="CX43" s="149"/>
      <c r="CY43" s="149"/>
      <c r="CZ43" s="149"/>
      <c r="DA43" s="149"/>
      <c r="DB43" s="149"/>
      <c r="DC43" s="120">
        <f t="shared" si="27"/>
        <v>30410</v>
      </c>
      <c r="DD43" s="11">
        <v>0</v>
      </c>
      <c r="DE43" s="149">
        <v>30410</v>
      </c>
      <c r="DF43" s="11"/>
      <c r="DG43" s="11"/>
      <c r="DH43" s="11"/>
      <c r="DI43" s="11"/>
      <c r="DJ43" s="11"/>
      <c r="DK43" s="11"/>
      <c r="DL43" s="11"/>
      <c r="DM43" s="11"/>
      <c r="DN43" s="11"/>
      <c r="DO43" s="11"/>
      <c r="DP43" s="11"/>
      <c r="DQ43" s="11"/>
      <c r="DR43" s="11"/>
      <c r="DS43" s="11"/>
      <c r="DT43" s="11"/>
      <c r="DU43" s="11"/>
      <c r="DV43" s="11"/>
      <c r="DW43" s="11"/>
      <c r="DX43" s="11"/>
    </row>
    <row r="44" spans="1:128" ht="54.75" customHeight="1" x14ac:dyDescent="0.2">
      <c r="A44" s="86" t="s">
        <v>595</v>
      </c>
      <c r="B44" s="8">
        <v>2606</v>
      </c>
      <c r="C44" s="21"/>
      <c r="D44" s="21"/>
      <c r="E44" s="21"/>
      <c r="F44" s="21"/>
      <c r="G44" s="21"/>
      <c r="H44" s="21"/>
      <c r="I44" s="21"/>
      <c r="J44" s="21"/>
      <c r="K44" s="21"/>
      <c r="L44" s="23"/>
      <c r="M44" s="23"/>
      <c r="N44" s="149">
        <f>SUM(O44:AJ44)</f>
        <v>2429.9</v>
      </c>
      <c r="O44" s="149">
        <f>2317.4+112.5</f>
        <v>2429.9</v>
      </c>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f>SUM(AM44:BI44)</f>
        <v>2429.9</v>
      </c>
      <c r="AM44" s="149">
        <f>2317.4+112.5</f>
        <v>2429.9</v>
      </c>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f t="shared" si="25"/>
        <v>2036.9</v>
      </c>
      <c r="BK44" s="149">
        <v>2036.9</v>
      </c>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f t="shared" si="26"/>
        <v>2036.9</v>
      </c>
      <c r="CH44" s="149">
        <v>2036.9</v>
      </c>
      <c r="CI44" s="149"/>
      <c r="CJ44" s="149"/>
      <c r="CK44" s="149"/>
      <c r="CL44" s="149"/>
      <c r="CM44" s="149"/>
      <c r="CN44" s="149"/>
      <c r="CO44" s="149"/>
      <c r="CP44" s="149"/>
      <c r="CQ44" s="149"/>
      <c r="CR44" s="149"/>
      <c r="CS44" s="149"/>
      <c r="CT44" s="149"/>
      <c r="CU44" s="149"/>
      <c r="CV44" s="149"/>
      <c r="CW44" s="149"/>
      <c r="CX44" s="149"/>
      <c r="CY44" s="149"/>
      <c r="CZ44" s="149"/>
      <c r="DA44" s="149"/>
      <c r="DB44" s="149"/>
      <c r="DC44" s="120">
        <f t="shared" si="27"/>
        <v>2036.9</v>
      </c>
      <c r="DD44" s="11">
        <v>2036.9</v>
      </c>
      <c r="DE44" s="11"/>
      <c r="DF44" s="11"/>
      <c r="DG44" s="11"/>
      <c r="DH44" s="11"/>
      <c r="DI44" s="11"/>
      <c r="DJ44" s="11"/>
      <c r="DK44" s="11"/>
      <c r="DL44" s="11"/>
      <c r="DM44" s="11"/>
      <c r="DN44" s="11"/>
      <c r="DO44" s="11"/>
      <c r="DP44" s="11"/>
      <c r="DQ44" s="11"/>
      <c r="DR44" s="11"/>
      <c r="DS44" s="11"/>
      <c r="DT44" s="11"/>
      <c r="DU44" s="11"/>
      <c r="DV44" s="11"/>
      <c r="DW44" s="11"/>
      <c r="DX44" s="11"/>
    </row>
    <row r="45" spans="1:128" ht="114.75" customHeight="1" x14ac:dyDescent="0.2">
      <c r="A45" s="86" t="s">
        <v>353</v>
      </c>
      <c r="B45" s="8">
        <v>2608</v>
      </c>
      <c r="C45" s="21" t="s">
        <v>109</v>
      </c>
      <c r="D45" s="21" t="s">
        <v>150</v>
      </c>
      <c r="E45" s="21" t="s">
        <v>174</v>
      </c>
      <c r="F45" s="41"/>
      <c r="G45" s="41"/>
      <c r="H45" s="41"/>
      <c r="I45" s="22" t="s">
        <v>229</v>
      </c>
      <c r="J45" s="22" t="s">
        <v>220</v>
      </c>
      <c r="K45" s="22" t="s">
        <v>230</v>
      </c>
      <c r="L45" s="23" t="s">
        <v>142</v>
      </c>
      <c r="M45" s="23" t="s">
        <v>143</v>
      </c>
      <c r="N45" s="149">
        <f>SUM(O45:AJ45)</f>
        <v>53693.5</v>
      </c>
      <c r="O45" s="149">
        <f>SUM(O46:O50)</f>
        <v>0</v>
      </c>
      <c r="P45" s="149">
        <f>SUM(P46:P50)</f>
        <v>0</v>
      </c>
      <c r="Q45" s="149"/>
      <c r="R45" s="149">
        <f t="shared" ref="R45" si="37">SUM(R46:R50)</f>
        <v>42845.9</v>
      </c>
      <c r="S45" s="149"/>
      <c r="T45" s="149">
        <f t="shared" ref="T45" si="38">SUM(T46:T50)</f>
        <v>0</v>
      </c>
      <c r="U45" s="149">
        <f>SUM(U46:U50)</f>
        <v>0</v>
      </c>
      <c r="V45" s="149">
        <f t="shared" ref="V45:Z45" si="39">SUM(V46:V50)</f>
        <v>0</v>
      </c>
      <c r="W45" s="149">
        <f t="shared" si="39"/>
        <v>0</v>
      </c>
      <c r="X45" s="149">
        <f t="shared" si="39"/>
        <v>0</v>
      </c>
      <c r="Y45" s="149">
        <f t="shared" si="39"/>
        <v>0</v>
      </c>
      <c r="Z45" s="149">
        <f t="shared" si="39"/>
        <v>2804.1</v>
      </c>
      <c r="AA45" s="149">
        <f>SUM(AA46:AA50)</f>
        <v>0</v>
      </c>
      <c r="AB45" s="149">
        <f t="shared" ref="AB45" si="40">SUM(AB46:AB50)</f>
        <v>0</v>
      </c>
      <c r="AC45" s="149">
        <f>SUM(AC46:AC50)</f>
        <v>0</v>
      </c>
      <c r="AD45" s="149">
        <f>SUM(AD46:AD50)</f>
        <v>8043.5</v>
      </c>
      <c r="AE45" s="149">
        <f>SUM(AE46:AE50)</f>
        <v>0</v>
      </c>
      <c r="AF45" s="149"/>
      <c r="AG45" s="149">
        <f t="shared" ref="AG45:AI45" si="41">SUM(AG46:AG50)</f>
        <v>0</v>
      </c>
      <c r="AH45" s="149">
        <f t="shared" si="41"/>
        <v>0</v>
      </c>
      <c r="AI45" s="149">
        <f t="shared" si="41"/>
        <v>0</v>
      </c>
      <c r="AJ45" s="149"/>
      <c r="AK45" s="149"/>
      <c r="AL45" s="149">
        <f>SUM(AM45:BI45)</f>
        <v>53686.5</v>
      </c>
      <c r="AM45" s="149">
        <f>SUM(AM46:AM50)</f>
        <v>0</v>
      </c>
      <c r="AN45" s="149">
        <f>SUM(AN46:AN50)</f>
        <v>0</v>
      </c>
      <c r="AO45" s="149"/>
      <c r="AP45" s="149">
        <f>SUM(AP46:AP50)</f>
        <v>42843.1</v>
      </c>
      <c r="AQ45" s="149"/>
      <c r="AR45" s="149">
        <f t="shared" ref="AR45:BB45" si="42">SUM(AR46:AR50)</f>
        <v>0</v>
      </c>
      <c r="AS45" s="149">
        <f t="shared" si="42"/>
        <v>0</v>
      </c>
      <c r="AT45" s="149">
        <f t="shared" si="42"/>
        <v>0</v>
      </c>
      <c r="AU45" s="149">
        <f t="shared" si="42"/>
        <v>0</v>
      </c>
      <c r="AV45" s="149">
        <f t="shared" si="42"/>
        <v>0</v>
      </c>
      <c r="AW45" s="149">
        <f t="shared" si="42"/>
        <v>0</v>
      </c>
      <c r="AX45" s="149">
        <f t="shared" si="42"/>
        <v>2804.1</v>
      </c>
      <c r="AY45" s="149">
        <f t="shared" si="42"/>
        <v>0</v>
      </c>
      <c r="AZ45" s="149">
        <f t="shared" si="42"/>
        <v>0</v>
      </c>
      <c r="BA45" s="149">
        <f t="shared" si="42"/>
        <v>0</v>
      </c>
      <c r="BB45" s="149">
        <f t="shared" si="42"/>
        <v>8039.3</v>
      </c>
      <c r="BC45" s="149"/>
      <c r="BD45" s="149"/>
      <c r="BE45" s="149">
        <f>SUM(BE46:BE50)</f>
        <v>0</v>
      </c>
      <c r="BF45" s="149">
        <f>SUM(BF46:BF50)</f>
        <v>0</v>
      </c>
      <c r="BG45" s="149">
        <f>SUM(BG46:BG50)</f>
        <v>0</v>
      </c>
      <c r="BH45" s="149"/>
      <c r="BI45" s="149"/>
      <c r="BJ45" s="149">
        <f t="shared" si="25"/>
        <v>48905.8</v>
      </c>
      <c r="BK45" s="149">
        <f>SUM(BK46:BK50)</f>
        <v>0</v>
      </c>
      <c r="BL45" s="149">
        <f>SUM(BL46:BL50)</f>
        <v>0</v>
      </c>
      <c r="BM45" s="149"/>
      <c r="BN45" s="149">
        <f t="shared" ref="BN45:CD45" si="43">SUM(BN46:BN50)</f>
        <v>30264.5</v>
      </c>
      <c r="BO45" s="149"/>
      <c r="BP45" s="149">
        <f t="shared" si="43"/>
        <v>0</v>
      </c>
      <c r="BQ45" s="149">
        <f>SUM(BQ46:BQ50)</f>
        <v>0</v>
      </c>
      <c r="BR45" s="149">
        <f t="shared" si="43"/>
        <v>0</v>
      </c>
      <c r="BS45" s="149">
        <f t="shared" si="43"/>
        <v>0</v>
      </c>
      <c r="BT45" s="149">
        <f t="shared" si="43"/>
        <v>0</v>
      </c>
      <c r="BU45" s="149">
        <f t="shared" si="43"/>
        <v>0</v>
      </c>
      <c r="BV45" s="149">
        <f t="shared" si="43"/>
        <v>2894.5</v>
      </c>
      <c r="BW45" s="149">
        <f>SUM(BW46:BW50)</f>
        <v>0</v>
      </c>
      <c r="BX45" s="149">
        <f t="shared" si="43"/>
        <v>0</v>
      </c>
      <c r="BY45" s="149">
        <f>SUM(BY46:BY50)</f>
        <v>0</v>
      </c>
      <c r="BZ45" s="149">
        <f>SUM(BZ46:BZ50)</f>
        <v>15746.8</v>
      </c>
      <c r="CA45" s="149">
        <f>SUM(CA46:CA50)</f>
        <v>0</v>
      </c>
      <c r="CB45" s="149">
        <f t="shared" si="43"/>
        <v>0</v>
      </c>
      <c r="CC45" s="149">
        <f t="shared" si="43"/>
        <v>0</v>
      </c>
      <c r="CD45" s="149">
        <f t="shared" si="43"/>
        <v>0</v>
      </c>
      <c r="CE45" s="149"/>
      <c r="CF45" s="149"/>
      <c r="CG45" s="149">
        <f t="shared" si="26"/>
        <v>47164.800000000003</v>
      </c>
      <c r="CH45" s="149">
        <f>SUM(CH46:CH50)</f>
        <v>0</v>
      </c>
      <c r="CI45" s="149">
        <f>SUM(CI46:CI50)</f>
        <v>0</v>
      </c>
      <c r="CJ45" s="149"/>
      <c r="CK45" s="149">
        <f t="shared" ref="CK45:CV45" si="44">SUM(CK46:CK50)</f>
        <v>28523.5</v>
      </c>
      <c r="CL45" s="149">
        <f>SUM(CL46:CL50)</f>
        <v>0</v>
      </c>
      <c r="CM45" s="149">
        <f t="shared" si="44"/>
        <v>0</v>
      </c>
      <c r="CN45" s="149">
        <f t="shared" si="44"/>
        <v>0</v>
      </c>
      <c r="CO45" s="149">
        <f t="shared" si="44"/>
        <v>0</v>
      </c>
      <c r="CP45" s="149">
        <f t="shared" si="44"/>
        <v>0</v>
      </c>
      <c r="CQ45" s="149">
        <f t="shared" si="44"/>
        <v>0</v>
      </c>
      <c r="CR45" s="149">
        <f t="shared" si="44"/>
        <v>0</v>
      </c>
      <c r="CS45" s="149">
        <f t="shared" si="44"/>
        <v>2894.5</v>
      </c>
      <c r="CT45" s="149">
        <f t="shared" si="44"/>
        <v>0</v>
      </c>
      <c r="CU45" s="149">
        <f t="shared" si="44"/>
        <v>0</v>
      </c>
      <c r="CV45" s="149">
        <f t="shared" si="44"/>
        <v>0</v>
      </c>
      <c r="CW45" s="149">
        <f t="shared" ref="CW45:DA45" si="45">SUM(CW46:CW50)</f>
        <v>15746.8</v>
      </c>
      <c r="CX45" s="149">
        <f t="shared" si="45"/>
        <v>0</v>
      </c>
      <c r="CY45" s="149">
        <f t="shared" si="45"/>
        <v>0</v>
      </c>
      <c r="CZ45" s="149">
        <f t="shared" si="45"/>
        <v>0</v>
      </c>
      <c r="DA45" s="149">
        <f t="shared" si="45"/>
        <v>0</v>
      </c>
      <c r="DB45" s="149"/>
      <c r="DC45" s="120">
        <f t="shared" si="27"/>
        <v>47533.1</v>
      </c>
      <c r="DD45" s="11">
        <f>SUM(DD46:DD50)</f>
        <v>0</v>
      </c>
      <c r="DE45" s="11">
        <f>SUM(DE46:DE50)</f>
        <v>0</v>
      </c>
      <c r="DF45" s="11"/>
      <c r="DG45" s="11">
        <f>SUM(DG46:DG50)</f>
        <v>28891.8</v>
      </c>
      <c r="DH45" s="11">
        <f>SUM(DH46:DH50)</f>
        <v>0</v>
      </c>
      <c r="DI45" s="11">
        <f t="shared" ref="DI45:DS45" si="46">SUM(DI46:DI50)</f>
        <v>0</v>
      </c>
      <c r="DJ45" s="11">
        <f t="shared" si="46"/>
        <v>0</v>
      </c>
      <c r="DK45" s="11">
        <f t="shared" si="46"/>
        <v>0</v>
      </c>
      <c r="DL45" s="11">
        <f t="shared" si="46"/>
        <v>0</v>
      </c>
      <c r="DM45" s="11">
        <f t="shared" si="46"/>
        <v>0</v>
      </c>
      <c r="DN45" s="11">
        <f t="shared" si="46"/>
        <v>0</v>
      </c>
      <c r="DO45" s="11">
        <f t="shared" si="46"/>
        <v>2894.5</v>
      </c>
      <c r="DP45" s="11">
        <f t="shared" si="46"/>
        <v>0</v>
      </c>
      <c r="DQ45" s="11">
        <f t="shared" si="46"/>
        <v>0</v>
      </c>
      <c r="DR45" s="11">
        <f t="shared" si="46"/>
        <v>0</v>
      </c>
      <c r="DS45" s="11">
        <f t="shared" si="46"/>
        <v>15746.8</v>
      </c>
      <c r="DT45" s="11"/>
      <c r="DU45" s="11">
        <f>SUM(DU46:DU50)</f>
        <v>0</v>
      </c>
      <c r="DV45" s="11">
        <f>SUM(DV46:DV50)</f>
        <v>0</v>
      </c>
      <c r="DW45" s="11">
        <f>SUM(DW46:DW50)</f>
        <v>0</v>
      </c>
      <c r="DX45" s="11"/>
    </row>
    <row r="46" spans="1:128" s="33" customFormat="1" ht="41.25" customHeight="1" x14ac:dyDescent="0.2">
      <c r="A46" s="29" t="s">
        <v>30</v>
      </c>
      <c r="B46" s="30"/>
      <c r="C46" s="40"/>
      <c r="D46" s="40"/>
      <c r="E46" s="40"/>
      <c r="F46" s="40"/>
      <c r="G46" s="40"/>
      <c r="H46" s="40"/>
      <c r="I46" s="40"/>
      <c r="J46" s="40"/>
      <c r="K46" s="40"/>
      <c r="L46" s="31" t="s">
        <v>20</v>
      </c>
      <c r="M46" s="31" t="s">
        <v>29</v>
      </c>
      <c r="N46" s="149"/>
      <c r="O46" s="149"/>
      <c r="P46" s="149"/>
      <c r="Q46" s="149"/>
      <c r="R46" s="149">
        <v>13644.5</v>
      </c>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v>13643.5</v>
      </c>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v>0</v>
      </c>
      <c r="BO46" s="149"/>
      <c r="BP46" s="149"/>
      <c r="BQ46" s="149"/>
      <c r="BR46" s="149"/>
      <c r="BS46" s="149"/>
      <c r="BT46" s="149"/>
      <c r="BU46" s="149"/>
      <c r="BV46" s="149"/>
      <c r="BW46" s="149"/>
      <c r="BX46" s="149"/>
      <c r="BY46" s="149"/>
      <c r="BZ46" s="149"/>
      <c r="CA46" s="149"/>
      <c r="CB46" s="149"/>
      <c r="CC46" s="149"/>
      <c r="CD46" s="149"/>
      <c r="CE46" s="149"/>
      <c r="CF46" s="149"/>
      <c r="CG46" s="149"/>
      <c r="CH46" s="149"/>
      <c r="CI46" s="149"/>
      <c r="CJ46" s="149"/>
      <c r="CK46" s="149">
        <v>0</v>
      </c>
      <c r="CL46" s="149"/>
      <c r="CM46" s="149"/>
      <c r="CN46" s="149"/>
      <c r="CO46" s="149"/>
      <c r="CP46" s="149"/>
      <c r="CQ46" s="149"/>
      <c r="CR46" s="149"/>
      <c r="CS46" s="149"/>
      <c r="CT46" s="149"/>
      <c r="CU46" s="149"/>
      <c r="CV46" s="149"/>
      <c r="CW46" s="149"/>
      <c r="CX46" s="149"/>
      <c r="CY46" s="149"/>
      <c r="CZ46" s="149"/>
      <c r="DA46" s="149"/>
      <c r="DB46" s="149"/>
      <c r="DC46" s="120">
        <f t="shared" si="27"/>
        <v>0</v>
      </c>
      <c r="DD46" s="32"/>
      <c r="DE46" s="32"/>
      <c r="DF46" s="32"/>
      <c r="DG46" s="32"/>
      <c r="DH46" s="32"/>
      <c r="DI46" s="32"/>
      <c r="DJ46" s="32"/>
      <c r="DK46" s="32"/>
      <c r="DL46" s="32"/>
      <c r="DM46" s="32"/>
      <c r="DN46" s="32"/>
      <c r="DO46" s="32"/>
      <c r="DP46" s="32"/>
      <c r="DQ46" s="32"/>
      <c r="DR46" s="32"/>
      <c r="DS46" s="32"/>
      <c r="DT46" s="32"/>
      <c r="DU46" s="32"/>
      <c r="DV46" s="32"/>
      <c r="DW46" s="32"/>
      <c r="DX46" s="32"/>
    </row>
    <row r="47" spans="1:128" s="33" customFormat="1" ht="41.25" customHeight="1" x14ac:dyDescent="0.2">
      <c r="A47" s="29" t="s">
        <v>31</v>
      </c>
      <c r="B47" s="30"/>
      <c r="C47" s="40"/>
      <c r="D47" s="40"/>
      <c r="E47" s="40"/>
      <c r="F47" s="40"/>
      <c r="G47" s="40"/>
      <c r="H47" s="40"/>
      <c r="I47" s="40"/>
      <c r="J47" s="40"/>
      <c r="K47" s="40"/>
      <c r="L47" s="31" t="s">
        <v>20</v>
      </c>
      <c r="M47" s="31" t="s">
        <v>29</v>
      </c>
      <c r="N47" s="149"/>
      <c r="O47" s="149"/>
      <c r="P47" s="149"/>
      <c r="Q47" s="149"/>
      <c r="R47" s="149">
        <v>29201.4</v>
      </c>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v>29199.599999999999</v>
      </c>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v>30264.5</v>
      </c>
      <c r="BO47" s="149"/>
      <c r="BP47" s="149"/>
      <c r="BQ47" s="149"/>
      <c r="BR47" s="149"/>
      <c r="BS47" s="149"/>
      <c r="BT47" s="149"/>
      <c r="BU47" s="149"/>
      <c r="BV47" s="149"/>
      <c r="BW47" s="149"/>
      <c r="BX47" s="149"/>
      <c r="BY47" s="149"/>
      <c r="BZ47" s="149"/>
      <c r="CA47" s="149"/>
      <c r="CB47" s="149"/>
      <c r="CC47" s="149"/>
      <c r="CD47" s="149"/>
      <c r="CE47" s="149"/>
      <c r="CF47" s="149"/>
      <c r="CG47" s="149"/>
      <c r="CH47" s="149"/>
      <c r="CI47" s="149"/>
      <c r="CJ47" s="149"/>
      <c r="CK47" s="149">
        <v>28523.5</v>
      </c>
      <c r="CL47" s="149"/>
      <c r="CM47" s="149"/>
      <c r="CN47" s="149"/>
      <c r="CO47" s="149"/>
      <c r="CP47" s="149"/>
      <c r="CQ47" s="149"/>
      <c r="CR47" s="149"/>
      <c r="CS47" s="149"/>
      <c r="CT47" s="149"/>
      <c r="CU47" s="149"/>
      <c r="CV47" s="149"/>
      <c r="CW47" s="149"/>
      <c r="CX47" s="149"/>
      <c r="CY47" s="149"/>
      <c r="CZ47" s="149"/>
      <c r="DA47" s="149"/>
      <c r="DB47" s="149"/>
      <c r="DC47" s="120">
        <f t="shared" si="27"/>
        <v>28891.8</v>
      </c>
      <c r="DD47" s="32"/>
      <c r="DE47" s="32"/>
      <c r="DF47" s="32"/>
      <c r="DG47" s="32">
        <v>28891.8</v>
      </c>
      <c r="DH47" s="32"/>
      <c r="DI47" s="32"/>
      <c r="DJ47" s="32"/>
      <c r="DK47" s="32"/>
      <c r="DL47" s="32"/>
      <c r="DM47" s="32"/>
      <c r="DN47" s="32"/>
      <c r="DO47" s="32"/>
      <c r="DP47" s="32"/>
      <c r="DQ47" s="32"/>
      <c r="DR47" s="32"/>
      <c r="DS47" s="32"/>
      <c r="DT47" s="32"/>
      <c r="DU47" s="32"/>
      <c r="DV47" s="32"/>
      <c r="DW47" s="32"/>
      <c r="DX47" s="32"/>
    </row>
    <row r="48" spans="1:128" s="33" customFormat="1" ht="41.25" customHeight="1" x14ac:dyDescent="0.2">
      <c r="A48" s="29" t="s">
        <v>792</v>
      </c>
      <c r="B48" s="30"/>
      <c r="C48" s="40"/>
      <c r="D48" s="40"/>
      <c r="E48" s="40"/>
      <c r="F48" s="40"/>
      <c r="G48" s="40"/>
      <c r="H48" s="40"/>
      <c r="I48" s="40"/>
      <c r="J48" s="40"/>
      <c r="K48" s="40"/>
      <c r="L48" s="31" t="s">
        <v>37</v>
      </c>
      <c r="M48" s="31" t="s">
        <v>37</v>
      </c>
      <c r="N48" s="149"/>
      <c r="O48" s="149"/>
      <c r="P48" s="149"/>
      <c r="Q48" s="149"/>
      <c r="R48" s="149"/>
      <c r="S48" s="149"/>
      <c r="T48" s="149">
        <v>0</v>
      </c>
      <c r="U48" s="149"/>
      <c r="V48" s="149"/>
      <c r="W48" s="149"/>
      <c r="X48" s="149"/>
      <c r="Y48" s="149"/>
      <c r="Z48" s="149"/>
      <c r="AA48" s="149"/>
      <c r="AB48" s="149"/>
      <c r="AC48" s="149"/>
      <c r="AD48" s="149">
        <f>6250.7+1753+39.8</f>
        <v>8043.5</v>
      </c>
      <c r="AE48" s="149"/>
      <c r="AF48" s="149"/>
      <c r="AG48" s="149"/>
      <c r="AH48" s="149"/>
      <c r="AI48" s="149"/>
      <c r="AJ48" s="149"/>
      <c r="AK48" s="149"/>
      <c r="AL48" s="149"/>
      <c r="AM48" s="149"/>
      <c r="AN48" s="149"/>
      <c r="AO48" s="149"/>
      <c r="AP48" s="149"/>
      <c r="AQ48" s="149"/>
      <c r="AR48" s="149">
        <v>0</v>
      </c>
      <c r="AS48" s="149"/>
      <c r="AT48" s="149"/>
      <c r="AU48" s="149"/>
      <c r="AV48" s="149"/>
      <c r="AW48" s="149"/>
      <c r="AX48" s="149"/>
      <c r="AY48" s="149"/>
      <c r="AZ48" s="149"/>
      <c r="BA48" s="149"/>
      <c r="BB48" s="149">
        <f>6250.7+1753+35.6</f>
        <v>8039.3</v>
      </c>
      <c r="BC48" s="149"/>
      <c r="BD48" s="149"/>
      <c r="BE48" s="149"/>
      <c r="BF48" s="149"/>
      <c r="BG48" s="149"/>
      <c r="BH48" s="149"/>
      <c r="BI48" s="149"/>
      <c r="BJ48" s="149"/>
      <c r="BK48" s="149"/>
      <c r="BL48" s="149"/>
      <c r="BM48" s="149"/>
      <c r="BN48" s="149"/>
      <c r="BO48" s="149"/>
      <c r="BP48" s="149">
        <v>0</v>
      </c>
      <c r="BQ48" s="149"/>
      <c r="BR48" s="149"/>
      <c r="BS48" s="149"/>
      <c r="BT48" s="149"/>
      <c r="BU48" s="149"/>
      <c r="BV48" s="149"/>
      <c r="BW48" s="149"/>
      <c r="BX48" s="149"/>
      <c r="BY48" s="149"/>
      <c r="BZ48" s="149">
        <v>15746.8</v>
      </c>
      <c r="CA48" s="149"/>
      <c r="CB48" s="149"/>
      <c r="CC48" s="149"/>
      <c r="CD48" s="149"/>
      <c r="CE48" s="149"/>
      <c r="CF48" s="149"/>
      <c r="CG48" s="149"/>
      <c r="CH48" s="149"/>
      <c r="CI48" s="149"/>
      <c r="CJ48" s="149"/>
      <c r="CK48" s="149"/>
      <c r="CL48" s="149"/>
      <c r="CM48" s="149">
        <v>0</v>
      </c>
      <c r="CN48" s="149"/>
      <c r="CO48" s="149"/>
      <c r="CP48" s="149"/>
      <c r="CQ48" s="149"/>
      <c r="CR48" s="149"/>
      <c r="CS48" s="149"/>
      <c r="CT48" s="149"/>
      <c r="CU48" s="149"/>
      <c r="CV48" s="149"/>
      <c r="CW48" s="149">
        <v>15746.8</v>
      </c>
      <c r="CX48" s="149"/>
      <c r="CY48" s="149"/>
      <c r="CZ48" s="149"/>
      <c r="DA48" s="149"/>
      <c r="DB48" s="149"/>
      <c r="DC48" s="120">
        <f t="shared" si="27"/>
        <v>15746.8</v>
      </c>
      <c r="DD48" s="32"/>
      <c r="DE48" s="32"/>
      <c r="DF48" s="32"/>
      <c r="DG48" s="32"/>
      <c r="DH48" s="32"/>
      <c r="DI48" s="32"/>
      <c r="DJ48" s="32"/>
      <c r="DK48" s="32"/>
      <c r="DL48" s="32"/>
      <c r="DM48" s="32"/>
      <c r="DN48" s="32"/>
      <c r="DO48" s="32"/>
      <c r="DP48" s="32"/>
      <c r="DQ48" s="32"/>
      <c r="DR48" s="32"/>
      <c r="DS48" s="32">
        <v>15746.8</v>
      </c>
      <c r="DT48" s="32"/>
      <c r="DU48" s="32"/>
      <c r="DV48" s="32"/>
      <c r="DW48" s="32"/>
      <c r="DX48" s="32"/>
    </row>
    <row r="49" spans="1:128" s="33" customFormat="1" ht="41.25" customHeight="1" x14ac:dyDescent="0.2">
      <c r="A49" s="29" t="s">
        <v>505</v>
      </c>
      <c r="B49" s="30"/>
      <c r="C49" s="40"/>
      <c r="D49" s="40"/>
      <c r="E49" s="40"/>
      <c r="F49" s="40"/>
      <c r="G49" s="40"/>
      <c r="H49" s="40"/>
      <c r="I49" s="40"/>
      <c r="J49" s="40"/>
      <c r="K49" s="40"/>
      <c r="L49" s="31"/>
      <c r="M49" s="31"/>
      <c r="N49" s="149"/>
      <c r="O49" s="149"/>
      <c r="P49" s="149"/>
      <c r="Q49" s="149"/>
      <c r="R49" s="149"/>
      <c r="S49" s="149"/>
      <c r="T49" s="149"/>
      <c r="U49" s="149"/>
      <c r="V49" s="149"/>
      <c r="W49" s="149"/>
      <c r="X49" s="149"/>
      <c r="Y49" s="149"/>
      <c r="Z49" s="149">
        <v>2804.1</v>
      </c>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v>2804.1</v>
      </c>
      <c r="AY49" s="149"/>
      <c r="AZ49" s="149"/>
      <c r="BA49" s="149"/>
      <c r="BB49" s="149"/>
      <c r="BC49" s="149"/>
      <c r="BD49" s="149"/>
      <c r="BE49" s="149"/>
      <c r="BF49" s="149"/>
      <c r="BG49" s="149"/>
      <c r="BH49" s="149"/>
      <c r="BI49" s="149"/>
      <c r="BJ49" s="149"/>
      <c r="BK49" s="149"/>
      <c r="BL49" s="149"/>
      <c r="BM49" s="149"/>
      <c r="BN49" s="149"/>
      <c r="BO49" s="149"/>
      <c r="BP49" s="149"/>
      <c r="BQ49" s="149"/>
      <c r="BR49" s="149"/>
      <c r="BS49" s="149"/>
      <c r="BT49" s="149"/>
      <c r="BU49" s="149"/>
      <c r="BV49" s="149">
        <v>2894.5</v>
      </c>
      <c r="BW49" s="149"/>
      <c r="BX49" s="149"/>
      <c r="BY49" s="149"/>
      <c r="BZ49" s="149"/>
      <c r="CA49" s="149"/>
      <c r="CB49" s="149"/>
      <c r="CC49" s="149"/>
      <c r="CD49" s="149"/>
      <c r="CE49" s="149"/>
      <c r="CF49" s="149"/>
      <c r="CG49" s="149"/>
      <c r="CH49" s="149"/>
      <c r="CI49" s="149"/>
      <c r="CJ49" s="149"/>
      <c r="CK49" s="149"/>
      <c r="CL49" s="149"/>
      <c r="CM49" s="149"/>
      <c r="CN49" s="149"/>
      <c r="CO49" s="149"/>
      <c r="CP49" s="149"/>
      <c r="CQ49" s="149"/>
      <c r="CR49" s="149"/>
      <c r="CS49" s="149">
        <v>2894.5</v>
      </c>
      <c r="CT49" s="149"/>
      <c r="CU49" s="149"/>
      <c r="CV49" s="149"/>
      <c r="CW49" s="149"/>
      <c r="CX49" s="149"/>
      <c r="CY49" s="149"/>
      <c r="CZ49" s="149"/>
      <c r="DA49" s="149"/>
      <c r="DB49" s="149"/>
      <c r="DC49" s="120">
        <f t="shared" si="27"/>
        <v>2894.5</v>
      </c>
      <c r="DD49" s="32"/>
      <c r="DE49" s="32"/>
      <c r="DF49" s="32"/>
      <c r="DG49" s="32"/>
      <c r="DH49" s="32"/>
      <c r="DI49" s="32"/>
      <c r="DJ49" s="32"/>
      <c r="DK49" s="32"/>
      <c r="DL49" s="32"/>
      <c r="DM49" s="32"/>
      <c r="DN49" s="32"/>
      <c r="DO49" s="32">
        <v>2894.5</v>
      </c>
      <c r="DP49" s="32"/>
      <c r="DQ49" s="32"/>
      <c r="DR49" s="32"/>
      <c r="DS49" s="32"/>
      <c r="DT49" s="32"/>
      <c r="DU49" s="32"/>
      <c r="DV49" s="32"/>
      <c r="DW49" s="32"/>
      <c r="DX49" s="32"/>
    </row>
    <row r="50" spans="1:128" s="33" customFormat="1" ht="41.25" customHeight="1" x14ac:dyDescent="0.2">
      <c r="A50" s="29" t="s">
        <v>509</v>
      </c>
      <c r="B50" s="30"/>
      <c r="C50" s="40"/>
      <c r="D50" s="40"/>
      <c r="E50" s="40"/>
      <c r="F50" s="40"/>
      <c r="G50" s="40"/>
      <c r="H50" s="40"/>
      <c r="I50" s="40"/>
      <c r="J50" s="40"/>
      <c r="K50" s="40"/>
      <c r="L50" s="31" t="s">
        <v>27</v>
      </c>
      <c r="M50" s="31" t="s">
        <v>33</v>
      </c>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49"/>
      <c r="BU50" s="149"/>
      <c r="BV50" s="149"/>
      <c r="BW50" s="149"/>
      <c r="BX50" s="149"/>
      <c r="BY50" s="149"/>
      <c r="BZ50" s="149"/>
      <c r="CA50" s="149"/>
      <c r="CB50" s="149"/>
      <c r="CC50" s="149"/>
      <c r="CD50" s="149"/>
      <c r="CE50" s="149"/>
      <c r="CF50" s="149"/>
      <c r="CG50" s="149"/>
      <c r="CH50" s="149"/>
      <c r="CI50" s="149"/>
      <c r="CJ50" s="149"/>
      <c r="CK50" s="149"/>
      <c r="CL50" s="149"/>
      <c r="CM50" s="149"/>
      <c r="CN50" s="149"/>
      <c r="CO50" s="149"/>
      <c r="CP50" s="149"/>
      <c r="CQ50" s="149"/>
      <c r="CR50" s="149"/>
      <c r="CS50" s="149"/>
      <c r="CT50" s="149"/>
      <c r="CU50" s="149"/>
      <c r="CV50" s="149"/>
      <c r="CW50" s="149"/>
      <c r="CX50" s="149"/>
      <c r="CY50" s="149"/>
      <c r="CZ50" s="149"/>
      <c r="DA50" s="149"/>
      <c r="DB50" s="149"/>
      <c r="DC50" s="120">
        <f t="shared" si="27"/>
        <v>0</v>
      </c>
      <c r="DD50" s="32"/>
      <c r="DE50" s="32"/>
      <c r="DF50" s="32"/>
      <c r="DG50" s="32"/>
      <c r="DH50" s="32"/>
      <c r="DI50" s="32"/>
      <c r="DJ50" s="32"/>
      <c r="DK50" s="32"/>
      <c r="DL50" s="32"/>
      <c r="DM50" s="32"/>
      <c r="DN50" s="32"/>
      <c r="DO50" s="32"/>
      <c r="DP50" s="32"/>
      <c r="DQ50" s="32"/>
      <c r="DR50" s="32"/>
      <c r="DS50" s="32">
        <v>0</v>
      </c>
      <c r="DT50" s="32"/>
      <c r="DU50" s="32"/>
      <c r="DV50" s="32"/>
      <c r="DW50" s="32"/>
      <c r="DX50" s="32"/>
    </row>
    <row r="51" spans="1:128" ht="76.5" customHeight="1" x14ac:dyDescent="0.2">
      <c r="A51" s="86" t="s">
        <v>354</v>
      </c>
      <c r="B51" s="74">
        <v>2613</v>
      </c>
      <c r="C51" s="21" t="s">
        <v>148</v>
      </c>
      <c r="D51" s="21" t="s">
        <v>149</v>
      </c>
      <c r="E51" s="21" t="s">
        <v>175</v>
      </c>
      <c r="F51" s="41"/>
      <c r="G51" s="41"/>
      <c r="H51" s="41"/>
      <c r="I51" s="41"/>
      <c r="J51" s="41"/>
      <c r="K51" s="41"/>
      <c r="L51" s="17" t="s">
        <v>20</v>
      </c>
      <c r="M51" s="17" t="s">
        <v>27</v>
      </c>
      <c r="N51" s="149">
        <f>SUM(O51:AJ51)</f>
        <v>0</v>
      </c>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f>SUM(AM51:BI51)</f>
        <v>0</v>
      </c>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f t="shared" ref="BJ51:BJ79" si="47">SUM(BK51:CE51)</f>
        <v>0</v>
      </c>
      <c r="BK51" s="149"/>
      <c r="BL51" s="149"/>
      <c r="BM51" s="149"/>
      <c r="BN51" s="149"/>
      <c r="BO51" s="149"/>
      <c r="BP51" s="149"/>
      <c r="BQ51" s="149"/>
      <c r="BR51" s="149"/>
      <c r="BS51" s="149"/>
      <c r="BT51" s="149"/>
      <c r="BU51" s="149"/>
      <c r="BV51" s="149"/>
      <c r="BW51" s="149"/>
      <c r="BX51" s="149"/>
      <c r="BY51" s="149"/>
      <c r="BZ51" s="149"/>
      <c r="CA51" s="149"/>
      <c r="CB51" s="149"/>
      <c r="CC51" s="149"/>
      <c r="CD51" s="149"/>
      <c r="CE51" s="149"/>
      <c r="CF51" s="149"/>
      <c r="CG51" s="149">
        <f t="shared" ref="CG51:CG79" si="48">SUM(CH51:DB51)</f>
        <v>0</v>
      </c>
      <c r="CH51" s="149"/>
      <c r="CI51" s="149"/>
      <c r="CJ51" s="149"/>
      <c r="CK51" s="149"/>
      <c r="CL51" s="149"/>
      <c r="CM51" s="149"/>
      <c r="CN51" s="149"/>
      <c r="CO51" s="149"/>
      <c r="CP51" s="149"/>
      <c r="CQ51" s="149"/>
      <c r="CR51" s="149"/>
      <c r="CS51" s="149"/>
      <c r="CT51" s="149"/>
      <c r="CU51" s="149"/>
      <c r="CV51" s="149"/>
      <c r="CW51" s="149"/>
      <c r="CX51" s="149"/>
      <c r="CY51" s="149"/>
      <c r="CZ51" s="149"/>
      <c r="DA51" s="149"/>
      <c r="DB51" s="149"/>
      <c r="DC51" s="120">
        <f t="shared" si="27"/>
        <v>0</v>
      </c>
      <c r="DD51" s="11"/>
      <c r="DE51" s="11"/>
      <c r="DF51" s="11"/>
      <c r="DG51" s="11"/>
      <c r="DH51" s="11"/>
      <c r="DI51" s="11"/>
      <c r="DJ51" s="11"/>
      <c r="DK51" s="11"/>
      <c r="DL51" s="11"/>
      <c r="DM51" s="11"/>
      <c r="DN51" s="11"/>
      <c r="DO51" s="11"/>
      <c r="DP51" s="11"/>
      <c r="DQ51" s="11"/>
      <c r="DR51" s="11"/>
      <c r="DS51" s="11"/>
      <c r="DT51" s="11"/>
      <c r="DU51" s="11"/>
      <c r="DV51" s="11"/>
      <c r="DW51" s="11"/>
      <c r="DX51" s="11"/>
    </row>
    <row r="52" spans="1:128" ht="99" customHeight="1" x14ac:dyDescent="0.2">
      <c r="A52" s="86" t="s">
        <v>355</v>
      </c>
      <c r="B52" s="74">
        <v>2617</v>
      </c>
      <c r="C52" s="21" t="s">
        <v>111</v>
      </c>
      <c r="D52" s="21" t="s">
        <v>112</v>
      </c>
      <c r="E52" s="21" t="s">
        <v>176</v>
      </c>
      <c r="F52" s="41"/>
      <c r="G52" s="41"/>
      <c r="H52" s="41"/>
      <c r="I52" s="21" t="s">
        <v>210</v>
      </c>
      <c r="J52" s="21" t="s">
        <v>63</v>
      </c>
      <c r="K52" s="21" t="s">
        <v>196</v>
      </c>
      <c r="L52" s="17" t="s">
        <v>140</v>
      </c>
      <c r="M52" s="17" t="s">
        <v>141</v>
      </c>
      <c r="N52" s="149">
        <f>SUM(O52:AJ52)</f>
        <v>0</v>
      </c>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f>SUM(AM52:BI52)</f>
        <v>0</v>
      </c>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f t="shared" si="47"/>
        <v>0</v>
      </c>
      <c r="BK52" s="149"/>
      <c r="BL52" s="149"/>
      <c r="BM52" s="149"/>
      <c r="BN52" s="149"/>
      <c r="BO52" s="149"/>
      <c r="BP52" s="149"/>
      <c r="BQ52" s="149"/>
      <c r="BR52" s="149"/>
      <c r="BS52" s="149"/>
      <c r="BT52" s="149"/>
      <c r="BU52" s="149"/>
      <c r="BV52" s="149"/>
      <c r="BW52" s="149"/>
      <c r="BX52" s="149"/>
      <c r="BY52" s="149"/>
      <c r="BZ52" s="149"/>
      <c r="CA52" s="149"/>
      <c r="CB52" s="149"/>
      <c r="CC52" s="149"/>
      <c r="CD52" s="149"/>
      <c r="CE52" s="149"/>
      <c r="CF52" s="149"/>
      <c r="CG52" s="149">
        <f t="shared" si="48"/>
        <v>0</v>
      </c>
      <c r="CH52" s="149"/>
      <c r="CI52" s="149"/>
      <c r="CJ52" s="149"/>
      <c r="CK52" s="149"/>
      <c r="CL52" s="149"/>
      <c r="CM52" s="149"/>
      <c r="CN52" s="149"/>
      <c r="CO52" s="149"/>
      <c r="CP52" s="149"/>
      <c r="CQ52" s="149"/>
      <c r="CR52" s="149"/>
      <c r="CS52" s="149"/>
      <c r="CT52" s="149"/>
      <c r="CU52" s="149"/>
      <c r="CV52" s="149"/>
      <c r="CW52" s="149"/>
      <c r="CX52" s="149"/>
      <c r="CY52" s="149"/>
      <c r="CZ52" s="149"/>
      <c r="DA52" s="149"/>
      <c r="DB52" s="149"/>
      <c r="DC52" s="120">
        <f t="shared" si="27"/>
        <v>0</v>
      </c>
      <c r="DD52" s="11"/>
      <c r="DE52" s="11"/>
      <c r="DF52" s="11"/>
      <c r="DG52" s="11"/>
      <c r="DH52" s="11"/>
      <c r="DI52" s="11"/>
      <c r="DJ52" s="11"/>
      <c r="DK52" s="11"/>
      <c r="DL52" s="11"/>
      <c r="DM52" s="11"/>
      <c r="DN52" s="11"/>
      <c r="DO52" s="11"/>
      <c r="DP52" s="11"/>
      <c r="DQ52" s="11"/>
      <c r="DR52" s="11"/>
      <c r="DS52" s="11"/>
      <c r="DT52" s="11"/>
      <c r="DU52" s="11"/>
      <c r="DV52" s="11"/>
      <c r="DW52" s="11"/>
      <c r="DX52" s="11"/>
    </row>
    <row r="53" spans="1:128" ht="123.75" x14ac:dyDescent="0.2">
      <c r="A53" s="86" t="s">
        <v>356</v>
      </c>
      <c r="B53" s="74">
        <v>2619</v>
      </c>
      <c r="C53" s="21" t="s">
        <v>113</v>
      </c>
      <c r="D53" s="21" t="s">
        <v>114</v>
      </c>
      <c r="E53" s="21" t="s">
        <v>177</v>
      </c>
      <c r="F53" s="41"/>
      <c r="G53" s="41"/>
      <c r="H53" s="41"/>
      <c r="I53" s="41"/>
      <c r="J53" s="41"/>
      <c r="K53" s="41"/>
      <c r="L53" s="23" t="s">
        <v>20</v>
      </c>
      <c r="M53" s="24" t="s">
        <v>139</v>
      </c>
      <c r="N53" s="149">
        <f>SUM(O53:AJ53)</f>
        <v>184.1</v>
      </c>
      <c r="O53" s="149"/>
      <c r="P53" s="149">
        <v>184.1</v>
      </c>
      <c r="Q53" s="149"/>
      <c r="R53" s="149"/>
      <c r="S53" s="149"/>
      <c r="T53" s="149"/>
      <c r="U53" s="149"/>
      <c r="V53" s="149"/>
      <c r="W53" s="149"/>
      <c r="X53" s="149"/>
      <c r="Y53" s="149"/>
      <c r="Z53" s="149"/>
      <c r="AA53" s="149"/>
      <c r="AB53" s="149"/>
      <c r="AC53" s="149"/>
      <c r="AD53" s="149"/>
      <c r="AE53" s="149"/>
      <c r="AF53" s="149"/>
      <c r="AG53" s="149"/>
      <c r="AH53" s="149"/>
      <c r="AI53" s="149"/>
      <c r="AJ53" s="149"/>
      <c r="AK53" s="149"/>
      <c r="AL53" s="149">
        <f>SUM(AM53:BI53)</f>
        <v>153.69999999999999</v>
      </c>
      <c r="AM53" s="149"/>
      <c r="AN53" s="149">
        <v>153.69999999999999</v>
      </c>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f t="shared" si="47"/>
        <v>0</v>
      </c>
      <c r="BK53" s="149"/>
      <c r="BL53" s="149">
        <v>0</v>
      </c>
      <c r="BM53" s="149"/>
      <c r="BN53" s="149"/>
      <c r="BO53" s="149"/>
      <c r="BP53" s="149"/>
      <c r="BQ53" s="149"/>
      <c r="BR53" s="149"/>
      <c r="BS53" s="149"/>
      <c r="BT53" s="149"/>
      <c r="BU53" s="149"/>
      <c r="BV53" s="149"/>
      <c r="BW53" s="149"/>
      <c r="BX53" s="149"/>
      <c r="BY53" s="149"/>
      <c r="BZ53" s="149"/>
      <c r="CA53" s="149"/>
      <c r="CB53" s="149"/>
      <c r="CC53" s="149"/>
      <c r="CD53" s="149"/>
      <c r="CE53" s="149"/>
      <c r="CF53" s="149"/>
      <c r="CG53" s="149">
        <f t="shared" si="48"/>
        <v>0</v>
      </c>
      <c r="CH53" s="149"/>
      <c r="CI53" s="149">
        <v>0</v>
      </c>
      <c r="CJ53" s="149"/>
      <c r="CK53" s="149"/>
      <c r="CL53" s="149"/>
      <c r="CM53" s="149"/>
      <c r="CN53" s="149"/>
      <c r="CO53" s="149"/>
      <c r="CP53" s="149"/>
      <c r="CQ53" s="149"/>
      <c r="CR53" s="149"/>
      <c r="CS53" s="149"/>
      <c r="CT53" s="149"/>
      <c r="CU53" s="149"/>
      <c r="CV53" s="149"/>
      <c r="CW53" s="149"/>
      <c r="CX53" s="149"/>
      <c r="CY53" s="149"/>
      <c r="CZ53" s="149"/>
      <c r="DA53" s="149"/>
      <c r="DB53" s="149"/>
      <c r="DC53" s="120">
        <f t="shared" si="27"/>
        <v>0</v>
      </c>
      <c r="DD53" s="11"/>
      <c r="DE53" s="11">
        <v>0</v>
      </c>
      <c r="DF53" s="11"/>
      <c r="DG53" s="11"/>
      <c r="DH53" s="11"/>
      <c r="DI53" s="11"/>
      <c r="DJ53" s="11"/>
      <c r="DK53" s="11"/>
      <c r="DL53" s="11"/>
      <c r="DM53" s="11"/>
      <c r="DN53" s="11"/>
      <c r="DO53" s="11"/>
      <c r="DP53" s="11"/>
      <c r="DQ53" s="11"/>
      <c r="DR53" s="11"/>
      <c r="DS53" s="11"/>
      <c r="DT53" s="11"/>
      <c r="DU53" s="11"/>
      <c r="DV53" s="11"/>
      <c r="DW53" s="11"/>
      <c r="DX53" s="11"/>
    </row>
    <row r="54" spans="1:128" ht="73.5" x14ac:dyDescent="0.2">
      <c r="A54" s="60" t="s">
        <v>358</v>
      </c>
      <c r="B54" s="61" t="s">
        <v>357</v>
      </c>
      <c r="C54" s="66" t="s">
        <v>10</v>
      </c>
      <c r="D54" s="67" t="s">
        <v>10</v>
      </c>
      <c r="E54" s="67" t="s">
        <v>10</v>
      </c>
      <c r="F54" s="66" t="s">
        <v>10</v>
      </c>
      <c r="G54" s="67" t="s">
        <v>10</v>
      </c>
      <c r="H54" s="67" t="s">
        <v>10</v>
      </c>
      <c r="I54" s="66" t="s">
        <v>10</v>
      </c>
      <c r="J54" s="67" t="s">
        <v>10</v>
      </c>
      <c r="K54" s="67" t="s">
        <v>10</v>
      </c>
      <c r="L54" s="64" t="s">
        <v>10</v>
      </c>
      <c r="M54" s="64" t="s">
        <v>10</v>
      </c>
      <c r="N54" s="120">
        <f>SUM(N55:N57)</f>
        <v>6055.1</v>
      </c>
      <c r="O54" s="120">
        <f t="shared" ref="O54:AJ54" si="49">O55+O56+O57+O59</f>
        <v>0</v>
      </c>
      <c r="P54" s="120">
        <f t="shared" si="49"/>
        <v>0</v>
      </c>
      <c r="Q54" s="120">
        <f t="shared" si="49"/>
        <v>0</v>
      </c>
      <c r="R54" s="120">
        <f t="shared" si="49"/>
        <v>0</v>
      </c>
      <c r="S54" s="120">
        <f t="shared" si="49"/>
        <v>0</v>
      </c>
      <c r="T54" s="120">
        <f t="shared" si="49"/>
        <v>0</v>
      </c>
      <c r="U54" s="120">
        <f t="shared" si="49"/>
        <v>0</v>
      </c>
      <c r="V54" s="120">
        <f t="shared" si="49"/>
        <v>0</v>
      </c>
      <c r="W54" s="120">
        <f t="shared" si="49"/>
        <v>0</v>
      </c>
      <c r="X54" s="120">
        <f t="shared" si="49"/>
        <v>0</v>
      </c>
      <c r="Y54" s="120">
        <f t="shared" si="49"/>
        <v>0</v>
      </c>
      <c r="Z54" s="120">
        <f t="shared" si="49"/>
        <v>0</v>
      </c>
      <c r="AA54" s="120">
        <f t="shared" si="49"/>
        <v>0</v>
      </c>
      <c r="AB54" s="120">
        <f t="shared" si="49"/>
        <v>0</v>
      </c>
      <c r="AC54" s="120">
        <f t="shared" si="49"/>
        <v>0</v>
      </c>
      <c r="AD54" s="120">
        <f t="shared" si="49"/>
        <v>0</v>
      </c>
      <c r="AE54" s="120">
        <f t="shared" si="49"/>
        <v>0</v>
      </c>
      <c r="AF54" s="120">
        <f t="shared" si="49"/>
        <v>0</v>
      </c>
      <c r="AG54" s="120">
        <f t="shared" si="49"/>
        <v>6055.1</v>
      </c>
      <c r="AH54" s="120">
        <f t="shared" si="49"/>
        <v>0</v>
      </c>
      <c r="AI54" s="120">
        <f t="shared" si="49"/>
        <v>0</v>
      </c>
      <c r="AJ54" s="120">
        <f t="shared" si="49"/>
        <v>0</v>
      </c>
      <c r="AK54" s="120">
        <f t="shared" ref="AK54" si="50">AK55+AK56+AK57+AK59</f>
        <v>0</v>
      </c>
      <c r="AL54" s="120">
        <f>SUM(AL55:AL57)</f>
        <v>6055.1</v>
      </c>
      <c r="AM54" s="120">
        <f t="shared" ref="AM54:BI54" si="51">AM55+AM56+AM57+AM59</f>
        <v>0</v>
      </c>
      <c r="AN54" s="120">
        <f t="shared" si="51"/>
        <v>0</v>
      </c>
      <c r="AO54" s="120">
        <f t="shared" si="51"/>
        <v>0</v>
      </c>
      <c r="AP54" s="120">
        <f t="shared" si="51"/>
        <v>0</v>
      </c>
      <c r="AQ54" s="120">
        <f t="shared" si="51"/>
        <v>0</v>
      </c>
      <c r="AR54" s="120">
        <f t="shared" si="51"/>
        <v>0</v>
      </c>
      <c r="AS54" s="120">
        <f t="shared" si="51"/>
        <v>0</v>
      </c>
      <c r="AT54" s="120">
        <f t="shared" si="51"/>
        <v>0</v>
      </c>
      <c r="AU54" s="120">
        <f t="shared" si="51"/>
        <v>0</v>
      </c>
      <c r="AV54" s="120">
        <f t="shared" si="51"/>
        <v>0</v>
      </c>
      <c r="AW54" s="120">
        <f t="shared" si="51"/>
        <v>0</v>
      </c>
      <c r="AX54" s="120">
        <f t="shared" si="51"/>
        <v>0</v>
      </c>
      <c r="AY54" s="120">
        <f t="shared" si="51"/>
        <v>0</v>
      </c>
      <c r="AZ54" s="120">
        <f t="shared" si="51"/>
        <v>0</v>
      </c>
      <c r="BA54" s="120">
        <f t="shared" si="51"/>
        <v>0</v>
      </c>
      <c r="BB54" s="120">
        <f t="shared" si="51"/>
        <v>0</v>
      </c>
      <c r="BC54" s="120">
        <f t="shared" si="51"/>
        <v>0</v>
      </c>
      <c r="BD54" s="120">
        <f t="shared" si="51"/>
        <v>0</v>
      </c>
      <c r="BE54" s="120">
        <f t="shared" si="51"/>
        <v>6055.1</v>
      </c>
      <c r="BF54" s="120">
        <f t="shared" si="51"/>
        <v>0</v>
      </c>
      <c r="BG54" s="120">
        <f t="shared" si="51"/>
        <v>0</v>
      </c>
      <c r="BH54" s="120">
        <f t="shared" si="51"/>
        <v>0</v>
      </c>
      <c r="BI54" s="120">
        <f t="shared" si="51"/>
        <v>0</v>
      </c>
      <c r="BJ54" s="120">
        <f t="shared" si="47"/>
        <v>7533.3</v>
      </c>
      <c r="BK54" s="120">
        <f>BK55+BK56+BK57+BK59</f>
        <v>0</v>
      </c>
      <c r="BL54" s="120">
        <f t="shared" ref="BL54:CE54" si="52">BL55+BL56+BL57+BL59</f>
        <v>0</v>
      </c>
      <c r="BM54" s="120">
        <f t="shared" si="52"/>
        <v>0</v>
      </c>
      <c r="BN54" s="120">
        <f t="shared" si="52"/>
        <v>0</v>
      </c>
      <c r="BO54" s="120">
        <f t="shared" si="52"/>
        <v>0</v>
      </c>
      <c r="BP54" s="120">
        <f t="shared" si="52"/>
        <v>0</v>
      </c>
      <c r="BQ54" s="120">
        <f>BQ55+BQ56+BQ57+BQ59</f>
        <v>0</v>
      </c>
      <c r="BR54" s="120">
        <f t="shared" si="52"/>
        <v>0</v>
      </c>
      <c r="BS54" s="120">
        <f t="shared" si="52"/>
        <v>0</v>
      </c>
      <c r="BT54" s="120">
        <f t="shared" si="52"/>
        <v>0</v>
      </c>
      <c r="BU54" s="120">
        <f t="shared" si="52"/>
        <v>0</v>
      </c>
      <c r="BV54" s="120">
        <f t="shared" si="52"/>
        <v>0</v>
      </c>
      <c r="BW54" s="120">
        <f>BW55+BW56+BW57+BW59</f>
        <v>0</v>
      </c>
      <c r="BX54" s="120">
        <f t="shared" si="52"/>
        <v>0</v>
      </c>
      <c r="BY54" s="120">
        <f>BY55+BY56+BY57+BY59</f>
        <v>0</v>
      </c>
      <c r="BZ54" s="120">
        <f>BZ55+BZ56+BZ57+BZ59</f>
        <v>0</v>
      </c>
      <c r="CA54" s="120">
        <f>CA55+CA56+CA57+CA59</f>
        <v>0</v>
      </c>
      <c r="CB54" s="120">
        <f t="shared" si="52"/>
        <v>7533.3</v>
      </c>
      <c r="CC54" s="120">
        <f t="shared" si="52"/>
        <v>0</v>
      </c>
      <c r="CD54" s="120">
        <f t="shared" si="52"/>
        <v>0</v>
      </c>
      <c r="CE54" s="120">
        <f t="shared" si="52"/>
        <v>0</v>
      </c>
      <c r="CF54" s="120">
        <f t="shared" ref="CF54" si="53">CF55+CF56+CF57+CF59</f>
        <v>0</v>
      </c>
      <c r="CG54" s="120">
        <f t="shared" si="48"/>
        <v>7533.3</v>
      </c>
      <c r="CH54" s="120">
        <f>CH55+CH56+CH57+CH59</f>
        <v>0</v>
      </c>
      <c r="CI54" s="120">
        <f t="shared" ref="CI54:CV54" si="54">CI55+CI56+CI57+CI59</f>
        <v>0</v>
      </c>
      <c r="CJ54" s="120">
        <f t="shared" si="54"/>
        <v>0</v>
      </c>
      <c r="CK54" s="120">
        <f t="shared" si="54"/>
        <v>0</v>
      </c>
      <c r="CL54" s="120">
        <f>CL55+CL56+CL57+CL59</f>
        <v>0</v>
      </c>
      <c r="CM54" s="120">
        <f t="shared" si="54"/>
        <v>0</v>
      </c>
      <c r="CN54" s="120">
        <f t="shared" si="54"/>
        <v>0</v>
      </c>
      <c r="CO54" s="120">
        <f t="shared" si="54"/>
        <v>0</v>
      </c>
      <c r="CP54" s="120">
        <f t="shared" si="54"/>
        <v>0</v>
      </c>
      <c r="CQ54" s="120">
        <f t="shared" si="54"/>
        <v>0</v>
      </c>
      <c r="CR54" s="120">
        <f t="shared" si="54"/>
        <v>0</v>
      </c>
      <c r="CS54" s="120">
        <f t="shared" si="54"/>
        <v>0</v>
      </c>
      <c r="CT54" s="120">
        <f t="shared" si="54"/>
        <v>0</v>
      </c>
      <c r="CU54" s="120">
        <f t="shared" si="54"/>
        <v>0</v>
      </c>
      <c r="CV54" s="120">
        <f t="shared" si="54"/>
        <v>0</v>
      </c>
      <c r="CW54" s="120">
        <f t="shared" ref="CW54:DB54" si="55">CW55+CW56+CW57+CW59</f>
        <v>0</v>
      </c>
      <c r="CX54" s="120">
        <f t="shared" si="55"/>
        <v>0</v>
      </c>
      <c r="CY54" s="120">
        <f t="shared" si="55"/>
        <v>7533.3</v>
      </c>
      <c r="CZ54" s="120">
        <f t="shared" si="55"/>
        <v>0</v>
      </c>
      <c r="DA54" s="120">
        <f t="shared" si="55"/>
        <v>0</v>
      </c>
      <c r="DB54" s="120">
        <f t="shared" si="55"/>
        <v>0</v>
      </c>
      <c r="DC54" s="120">
        <f t="shared" si="27"/>
        <v>7533.3</v>
      </c>
      <c r="DD54" s="62">
        <f>DD55+DD56+DD57+DD59</f>
        <v>0</v>
      </c>
      <c r="DE54" s="62">
        <f>DE55+DE56+DE57+DE59</f>
        <v>0</v>
      </c>
      <c r="DF54" s="62">
        <f>DF55+DF56+DF57+DF59</f>
        <v>0</v>
      </c>
      <c r="DG54" s="62">
        <f>DG55+DG56+DG57+DG59</f>
        <v>0</v>
      </c>
      <c r="DH54" s="62">
        <f>DH55+DH56+DH57+DH59</f>
        <v>0</v>
      </c>
      <c r="DI54" s="62">
        <f t="shared" ref="DI54:DS54" si="56">DI55+DI56+DI57+DI59</f>
        <v>0</v>
      </c>
      <c r="DJ54" s="62">
        <f t="shared" si="56"/>
        <v>0</v>
      </c>
      <c r="DK54" s="62">
        <f t="shared" si="56"/>
        <v>0</v>
      </c>
      <c r="DL54" s="62">
        <f t="shared" si="56"/>
        <v>0</v>
      </c>
      <c r="DM54" s="62">
        <f t="shared" si="56"/>
        <v>0</v>
      </c>
      <c r="DN54" s="62">
        <f t="shared" si="56"/>
        <v>0</v>
      </c>
      <c r="DO54" s="62">
        <f t="shared" si="56"/>
        <v>0</v>
      </c>
      <c r="DP54" s="62">
        <f t="shared" si="56"/>
        <v>0</v>
      </c>
      <c r="DQ54" s="62">
        <f t="shared" si="56"/>
        <v>0</v>
      </c>
      <c r="DR54" s="62">
        <f t="shared" si="56"/>
        <v>0</v>
      </c>
      <c r="DS54" s="62">
        <f t="shared" si="56"/>
        <v>0</v>
      </c>
      <c r="DT54" s="62"/>
      <c r="DU54" s="62">
        <f t="shared" ref="DU54:DX54" si="57">DU55+DU56+DU57+DU59</f>
        <v>7533.3</v>
      </c>
      <c r="DV54" s="62">
        <f t="shared" si="57"/>
        <v>0</v>
      </c>
      <c r="DW54" s="62">
        <f t="shared" si="57"/>
        <v>0</v>
      </c>
      <c r="DX54" s="62">
        <f t="shared" si="57"/>
        <v>0</v>
      </c>
    </row>
    <row r="55" spans="1:128" ht="36.75" customHeight="1" x14ac:dyDescent="0.2">
      <c r="A55" s="65" t="s">
        <v>359</v>
      </c>
      <c r="B55" s="69">
        <v>2701</v>
      </c>
      <c r="C55" s="66" t="s">
        <v>10</v>
      </c>
      <c r="D55" s="67" t="s">
        <v>10</v>
      </c>
      <c r="E55" s="67" t="s">
        <v>10</v>
      </c>
      <c r="F55" s="66" t="s">
        <v>10</v>
      </c>
      <c r="G55" s="67" t="s">
        <v>10</v>
      </c>
      <c r="H55" s="67" t="s">
        <v>10</v>
      </c>
      <c r="I55" s="66" t="s">
        <v>10</v>
      </c>
      <c r="J55" s="67" t="s">
        <v>10</v>
      </c>
      <c r="K55" s="67" t="s">
        <v>10</v>
      </c>
      <c r="L55" s="64" t="s">
        <v>10</v>
      </c>
      <c r="M55" s="64" t="s">
        <v>10</v>
      </c>
      <c r="N55" s="120">
        <f>SUM(O55:AJ55)</f>
        <v>0</v>
      </c>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f>SUM(AM55:BI55)</f>
        <v>0</v>
      </c>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f t="shared" si="47"/>
        <v>0</v>
      </c>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f t="shared" si="48"/>
        <v>0</v>
      </c>
      <c r="CH55" s="120"/>
      <c r="CI55" s="120"/>
      <c r="CJ55" s="120"/>
      <c r="CK55" s="120"/>
      <c r="CL55" s="120"/>
      <c r="CM55" s="120"/>
      <c r="CN55" s="120"/>
      <c r="CO55" s="120"/>
      <c r="CP55" s="120"/>
      <c r="CQ55" s="120"/>
      <c r="CR55" s="120"/>
      <c r="CS55" s="120"/>
      <c r="CT55" s="120"/>
      <c r="CU55" s="120"/>
      <c r="CV55" s="120"/>
      <c r="CW55" s="120"/>
      <c r="CX55" s="120"/>
      <c r="CY55" s="120"/>
      <c r="CZ55" s="120"/>
      <c r="DA55" s="120"/>
      <c r="DB55" s="120"/>
      <c r="DC55" s="120">
        <f t="shared" si="27"/>
        <v>0</v>
      </c>
      <c r="DD55" s="62"/>
      <c r="DE55" s="62"/>
      <c r="DF55" s="62"/>
      <c r="DG55" s="62"/>
      <c r="DH55" s="62"/>
      <c r="DI55" s="62"/>
      <c r="DJ55" s="62"/>
      <c r="DK55" s="62"/>
      <c r="DL55" s="62"/>
      <c r="DM55" s="62"/>
      <c r="DN55" s="62"/>
      <c r="DO55" s="62"/>
      <c r="DP55" s="62"/>
      <c r="DQ55" s="62"/>
      <c r="DR55" s="62"/>
      <c r="DS55" s="62"/>
      <c r="DT55" s="62"/>
      <c r="DU55" s="62"/>
      <c r="DV55" s="62"/>
      <c r="DW55" s="62"/>
      <c r="DX55" s="62"/>
    </row>
    <row r="56" spans="1:128" ht="45" x14ac:dyDescent="0.2">
      <c r="A56" s="65" t="s">
        <v>360</v>
      </c>
      <c r="B56" s="69">
        <v>2800</v>
      </c>
      <c r="C56" s="66" t="s">
        <v>10</v>
      </c>
      <c r="D56" s="67" t="s">
        <v>10</v>
      </c>
      <c r="E56" s="67" t="s">
        <v>10</v>
      </c>
      <c r="F56" s="66" t="s">
        <v>10</v>
      </c>
      <c r="G56" s="67" t="s">
        <v>10</v>
      </c>
      <c r="H56" s="67" t="s">
        <v>10</v>
      </c>
      <c r="I56" s="66" t="s">
        <v>10</v>
      </c>
      <c r="J56" s="67" t="s">
        <v>10</v>
      </c>
      <c r="K56" s="67" t="s">
        <v>10</v>
      </c>
      <c r="L56" s="64" t="s">
        <v>10</v>
      </c>
      <c r="M56" s="64" t="s">
        <v>10</v>
      </c>
      <c r="N56" s="120">
        <f>SUM(O56:AJ56)</f>
        <v>0</v>
      </c>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f>SUM(AM56:BI56)</f>
        <v>0</v>
      </c>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f t="shared" si="47"/>
        <v>0</v>
      </c>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f t="shared" si="48"/>
        <v>0</v>
      </c>
      <c r="CH56" s="120"/>
      <c r="CI56" s="120"/>
      <c r="CJ56" s="120"/>
      <c r="CK56" s="120"/>
      <c r="CL56" s="120"/>
      <c r="CM56" s="120"/>
      <c r="CN56" s="120"/>
      <c r="CO56" s="120"/>
      <c r="CP56" s="120"/>
      <c r="CQ56" s="120"/>
      <c r="CR56" s="120"/>
      <c r="CS56" s="120"/>
      <c r="CT56" s="120"/>
      <c r="CU56" s="120"/>
      <c r="CV56" s="120"/>
      <c r="CW56" s="120"/>
      <c r="CX56" s="120"/>
      <c r="CY56" s="120"/>
      <c r="CZ56" s="120"/>
      <c r="DA56" s="120"/>
      <c r="DB56" s="120"/>
      <c r="DC56" s="120">
        <f t="shared" si="27"/>
        <v>0</v>
      </c>
      <c r="DD56" s="62"/>
      <c r="DE56" s="62"/>
      <c r="DF56" s="62"/>
      <c r="DG56" s="62"/>
      <c r="DH56" s="62"/>
      <c r="DI56" s="62"/>
      <c r="DJ56" s="62"/>
      <c r="DK56" s="62"/>
      <c r="DL56" s="62"/>
      <c r="DM56" s="62"/>
      <c r="DN56" s="62"/>
      <c r="DO56" s="62"/>
      <c r="DP56" s="62"/>
      <c r="DQ56" s="62"/>
      <c r="DR56" s="62"/>
      <c r="DS56" s="62"/>
      <c r="DT56" s="62"/>
      <c r="DU56" s="62"/>
      <c r="DV56" s="62"/>
      <c r="DW56" s="62"/>
      <c r="DX56" s="62"/>
    </row>
    <row r="57" spans="1:128" ht="67.5" x14ac:dyDescent="0.2">
      <c r="A57" s="65" t="s">
        <v>361</v>
      </c>
      <c r="B57" s="69">
        <v>2900</v>
      </c>
      <c r="C57" s="66" t="s">
        <v>10</v>
      </c>
      <c r="D57" s="67" t="s">
        <v>10</v>
      </c>
      <c r="E57" s="67" t="s">
        <v>10</v>
      </c>
      <c r="F57" s="66" t="s">
        <v>10</v>
      </c>
      <c r="G57" s="67" t="s">
        <v>10</v>
      </c>
      <c r="H57" s="67" t="s">
        <v>10</v>
      </c>
      <c r="I57" s="66" t="s">
        <v>10</v>
      </c>
      <c r="J57" s="67" t="s">
        <v>10</v>
      </c>
      <c r="K57" s="67" t="s">
        <v>10</v>
      </c>
      <c r="L57" s="64" t="s">
        <v>10</v>
      </c>
      <c r="M57" s="64" t="s">
        <v>10</v>
      </c>
      <c r="N57" s="120">
        <f>N58</f>
        <v>6055.1</v>
      </c>
      <c r="O57" s="120">
        <f>O58</f>
        <v>0</v>
      </c>
      <c r="P57" s="120">
        <f t="shared" ref="P57:AK57" si="58">P58</f>
        <v>0</v>
      </c>
      <c r="Q57" s="120">
        <f t="shared" si="58"/>
        <v>0</v>
      </c>
      <c r="R57" s="120">
        <f t="shared" si="58"/>
        <v>0</v>
      </c>
      <c r="S57" s="120">
        <f t="shared" si="58"/>
        <v>0</v>
      </c>
      <c r="T57" s="120">
        <f t="shared" si="58"/>
        <v>0</v>
      </c>
      <c r="U57" s="120">
        <f t="shared" si="58"/>
        <v>0</v>
      </c>
      <c r="V57" s="120">
        <f t="shared" si="58"/>
        <v>0</v>
      </c>
      <c r="W57" s="120">
        <f t="shared" si="58"/>
        <v>0</v>
      </c>
      <c r="X57" s="120">
        <f t="shared" si="58"/>
        <v>0</v>
      </c>
      <c r="Y57" s="120">
        <f t="shared" si="58"/>
        <v>0</v>
      </c>
      <c r="Z57" s="120">
        <f t="shared" si="58"/>
        <v>0</v>
      </c>
      <c r="AA57" s="120">
        <f t="shared" si="58"/>
        <v>0</v>
      </c>
      <c r="AB57" s="120">
        <f t="shared" si="58"/>
        <v>0</v>
      </c>
      <c r="AC57" s="120">
        <f t="shared" si="58"/>
        <v>0</v>
      </c>
      <c r="AD57" s="120">
        <f t="shared" si="58"/>
        <v>0</v>
      </c>
      <c r="AE57" s="120">
        <f t="shared" si="58"/>
        <v>0</v>
      </c>
      <c r="AF57" s="120">
        <f t="shared" si="58"/>
        <v>0</v>
      </c>
      <c r="AG57" s="120">
        <f t="shared" si="58"/>
        <v>6055.1</v>
      </c>
      <c r="AH57" s="120">
        <f t="shared" si="58"/>
        <v>0</v>
      </c>
      <c r="AI57" s="120">
        <f t="shared" si="58"/>
        <v>0</v>
      </c>
      <c r="AJ57" s="120">
        <f t="shared" si="58"/>
        <v>0</v>
      </c>
      <c r="AK57" s="120">
        <f t="shared" si="58"/>
        <v>0</v>
      </c>
      <c r="AL57" s="120">
        <f>AL58</f>
        <v>6055.1</v>
      </c>
      <c r="AM57" s="120">
        <f>AM58</f>
        <v>0</v>
      </c>
      <c r="AN57" s="120">
        <f t="shared" ref="AN57:BI57" si="59">AN58</f>
        <v>0</v>
      </c>
      <c r="AO57" s="120">
        <f t="shared" si="59"/>
        <v>0</v>
      </c>
      <c r="AP57" s="120">
        <f t="shared" si="59"/>
        <v>0</v>
      </c>
      <c r="AQ57" s="120">
        <f t="shared" si="59"/>
        <v>0</v>
      </c>
      <c r="AR57" s="120">
        <f t="shared" si="59"/>
        <v>0</v>
      </c>
      <c r="AS57" s="120">
        <f t="shared" si="59"/>
        <v>0</v>
      </c>
      <c r="AT57" s="120">
        <f t="shared" si="59"/>
        <v>0</v>
      </c>
      <c r="AU57" s="120">
        <f t="shared" si="59"/>
        <v>0</v>
      </c>
      <c r="AV57" s="120">
        <f t="shared" si="59"/>
        <v>0</v>
      </c>
      <c r="AW57" s="120">
        <f t="shared" si="59"/>
        <v>0</v>
      </c>
      <c r="AX57" s="120">
        <f t="shared" si="59"/>
        <v>0</v>
      </c>
      <c r="AY57" s="120">
        <f t="shared" si="59"/>
        <v>0</v>
      </c>
      <c r="AZ57" s="120">
        <f t="shared" si="59"/>
        <v>0</v>
      </c>
      <c r="BA57" s="120">
        <f t="shared" si="59"/>
        <v>0</v>
      </c>
      <c r="BB57" s="120">
        <f t="shared" si="59"/>
        <v>0</v>
      </c>
      <c r="BC57" s="120">
        <f t="shared" si="59"/>
        <v>0</v>
      </c>
      <c r="BD57" s="120">
        <f t="shared" si="59"/>
        <v>0</v>
      </c>
      <c r="BE57" s="120">
        <f t="shared" si="59"/>
        <v>6055.1</v>
      </c>
      <c r="BF57" s="120">
        <f t="shared" si="59"/>
        <v>0</v>
      </c>
      <c r="BG57" s="120">
        <f t="shared" si="59"/>
        <v>0</v>
      </c>
      <c r="BH57" s="120"/>
      <c r="BI57" s="120">
        <f t="shared" si="59"/>
        <v>0</v>
      </c>
      <c r="BJ57" s="120">
        <f t="shared" si="47"/>
        <v>7533.3</v>
      </c>
      <c r="BK57" s="120">
        <f>BK58</f>
        <v>0</v>
      </c>
      <c r="BL57" s="120">
        <f t="shared" ref="BL57:CF57" si="60">BL58</f>
        <v>0</v>
      </c>
      <c r="BM57" s="120">
        <f t="shared" si="60"/>
        <v>0</v>
      </c>
      <c r="BN57" s="120">
        <f t="shared" si="60"/>
        <v>0</v>
      </c>
      <c r="BO57" s="120">
        <f t="shared" si="60"/>
        <v>0</v>
      </c>
      <c r="BP57" s="120">
        <f t="shared" si="60"/>
        <v>0</v>
      </c>
      <c r="BQ57" s="120">
        <f t="shared" si="60"/>
        <v>0</v>
      </c>
      <c r="BR57" s="120">
        <f t="shared" si="60"/>
        <v>0</v>
      </c>
      <c r="BS57" s="120">
        <f t="shared" si="60"/>
        <v>0</v>
      </c>
      <c r="BT57" s="120">
        <f t="shared" si="60"/>
        <v>0</v>
      </c>
      <c r="BU57" s="120">
        <f t="shared" si="60"/>
        <v>0</v>
      </c>
      <c r="BV57" s="120">
        <f t="shared" si="60"/>
        <v>0</v>
      </c>
      <c r="BW57" s="120">
        <f t="shared" si="60"/>
        <v>0</v>
      </c>
      <c r="BX57" s="120">
        <f t="shared" si="60"/>
        <v>0</v>
      </c>
      <c r="BY57" s="120">
        <f t="shared" si="60"/>
        <v>0</v>
      </c>
      <c r="BZ57" s="120">
        <f t="shared" si="60"/>
        <v>0</v>
      </c>
      <c r="CA57" s="120">
        <f t="shared" si="60"/>
        <v>0</v>
      </c>
      <c r="CB57" s="120">
        <f t="shared" si="60"/>
        <v>7533.3</v>
      </c>
      <c r="CC57" s="120">
        <f t="shared" si="60"/>
        <v>0</v>
      </c>
      <c r="CD57" s="120">
        <f t="shared" si="60"/>
        <v>0</v>
      </c>
      <c r="CE57" s="120">
        <f t="shared" si="60"/>
        <v>0</v>
      </c>
      <c r="CF57" s="120">
        <f t="shared" si="60"/>
        <v>0</v>
      </c>
      <c r="CG57" s="120">
        <f t="shared" si="48"/>
        <v>7533.3</v>
      </c>
      <c r="CH57" s="120">
        <f>CH58</f>
        <v>0</v>
      </c>
      <c r="CI57" s="120">
        <f t="shared" ref="CI57:DB57" si="61">CI58</f>
        <v>0</v>
      </c>
      <c r="CJ57" s="120">
        <f t="shared" si="61"/>
        <v>0</v>
      </c>
      <c r="CK57" s="120">
        <f t="shared" si="61"/>
        <v>0</v>
      </c>
      <c r="CL57" s="120">
        <f t="shared" si="61"/>
        <v>0</v>
      </c>
      <c r="CM57" s="120">
        <f t="shared" si="61"/>
        <v>0</v>
      </c>
      <c r="CN57" s="120">
        <f t="shared" si="61"/>
        <v>0</v>
      </c>
      <c r="CO57" s="120">
        <f t="shared" si="61"/>
        <v>0</v>
      </c>
      <c r="CP57" s="120">
        <f t="shared" si="61"/>
        <v>0</v>
      </c>
      <c r="CQ57" s="120">
        <f t="shared" si="61"/>
        <v>0</v>
      </c>
      <c r="CR57" s="120">
        <f t="shared" si="61"/>
        <v>0</v>
      </c>
      <c r="CS57" s="120">
        <f t="shared" si="61"/>
        <v>0</v>
      </c>
      <c r="CT57" s="120">
        <f t="shared" si="61"/>
        <v>0</v>
      </c>
      <c r="CU57" s="120">
        <f t="shared" si="61"/>
        <v>0</v>
      </c>
      <c r="CV57" s="120">
        <f t="shared" si="61"/>
        <v>0</v>
      </c>
      <c r="CW57" s="120">
        <f t="shared" si="61"/>
        <v>0</v>
      </c>
      <c r="CX57" s="120">
        <f t="shared" si="61"/>
        <v>0</v>
      </c>
      <c r="CY57" s="120">
        <f t="shared" si="61"/>
        <v>7533.3</v>
      </c>
      <c r="CZ57" s="120">
        <f t="shared" si="61"/>
        <v>0</v>
      </c>
      <c r="DA57" s="120">
        <f t="shared" si="61"/>
        <v>0</v>
      </c>
      <c r="DB57" s="120">
        <f t="shared" si="61"/>
        <v>0</v>
      </c>
      <c r="DC57" s="120">
        <f t="shared" si="27"/>
        <v>7533.3</v>
      </c>
      <c r="DD57" s="62">
        <f>DD58</f>
        <v>0</v>
      </c>
      <c r="DE57" s="62">
        <f t="shared" ref="DE57:DX57" si="62">DE58</f>
        <v>0</v>
      </c>
      <c r="DF57" s="62">
        <f t="shared" si="62"/>
        <v>0</v>
      </c>
      <c r="DG57" s="62">
        <f t="shared" si="62"/>
        <v>0</v>
      </c>
      <c r="DH57" s="62">
        <f t="shared" si="62"/>
        <v>0</v>
      </c>
      <c r="DI57" s="62">
        <f t="shared" si="62"/>
        <v>0</v>
      </c>
      <c r="DJ57" s="62">
        <f t="shared" si="62"/>
        <v>0</v>
      </c>
      <c r="DK57" s="62">
        <f t="shared" si="62"/>
        <v>0</v>
      </c>
      <c r="DL57" s="62">
        <f t="shared" si="62"/>
        <v>0</v>
      </c>
      <c r="DM57" s="62">
        <f t="shared" si="62"/>
        <v>0</v>
      </c>
      <c r="DN57" s="62">
        <f t="shared" si="62"/>
        <v>0</v>
      </c>
      <c r="DO57" s="62">
        <f t="shared" si="62"/>
        <v>0</v>
      </c>
      <c r="DP57" s="62">
        <f t="shared" si="62"/>
        <v>0</v>
      </c>
      <c r="DQ57" s="62">
        <f t="shared" si="62"/>
        <v>0</v>
      </c>
      <c r="DR57" s="62">
        <f t="shared" si="62"/>
        <v>0</v>
      </c>
      <c r="DS57" s="62">
        <f t="shared" si="62"/>
        <v>0</v>
      </c>
      <c r="DT57" s="62"/>
      <c r="DU57" s="62">
        <f t="shared" si="62"/>
        <v>7533.3</v>
      </c>
      <c r="DV57" s="62">
        <f t="shared" si="62"/>
        <v>0</v>
      </c>
      <c r="DW57" s="62">
        <f t="shared" si="62"/>
        <v>0</v>
      </c>
      <c r="DX57" s="62">
        <f t="shared" si="62"/>
        <v>0</v>
      </c>
    </row>
    <row r="58" spans="1:128" s="94" customFormat="1" ht="33.75" x14ac:dyDescent="0.2">
      <c r="A58" s="86" t="s">
        <v>362</v>
      </c>
      <c r="B58" s="74">
        <v>2901</v>
      </c>
      <c r="C58" s="75"/>
      <c r="D58" s="76"/>
      <c r="E58" s="76"/>
      <c r="F58" s="75"/>
      <c r="G58" s="76"/>
      <c r="H58" s="76"/>
      <c r="I58" s="75"/>
      <c r="J58" s="76"/>
      <c r="K58" s="76"/>
      <c r="L58" s="77"/>
      <c r="M58" s="77"/>
      <c r="N58" s="120">
        <f>SUM(O58:AJ58)</f>
        <v>6055.1</v>
      </c>
      <c r="O58" s="120"/>
      <c r="P58" s="120"/>
      <c r="Q58" s="120"/>
      <c r="R58" s="120"/>
      <c r="S58" s="120"/>
      <c r="T58" s="120"/>
      <c r="U58" s="120"/>
      <c r="V58" s="120"/>
      <c r="W58" s="120"/>
      <c r="X58" s="120"/>
      <c r="Y58" s="120"/>
      <c r="Z58" s="120"/>
      <c r="AA58" s="120"/>
      <c r="AB58" s="120"/>
      <c r="AC58" s="120"/>
      <c r="AD58" s="120"/>
      <c r="AE58" s="120"/>
      <c r="AF58" s="120"/>
      <c r="AG58" s="120">
        <v>6055.1</v>
      </c>
      <c r="AH58" s="120"/>
      <c r="AI58" s="120"/>
      <c r="AJ58" s="120"/>
      <c r="AK58" s="120"/>
      <c r="AL58" s="120">
        <f>SUM(AM58:BI58)</f>
        <v>6055.1</v>
      </c>
      <c r="AM58" s="120"/>
      <c r="AN58" s="120"/>
      <c r="AO58" s="120"/>
      <c r="AP58" s="120"/>
      <c r="AQ58" s="120"/>
      <c r="AR58" s="120"/>
      <c r="AS58" s="120"/>
      <c r="AT58" s="120"/>
      <c r="AU58" s="120"/>
      <c r="AV58" s="120"/>
      <c r="AW58" s="120"/>
      <c r="AX58" s="120"/>
      <c r="AY58" s="120"/>
      <c r="AZ58" s="120"/>
      <c r="BA58" s="120"/>
      <c r="BB58" s="120"/>
      <c r="BC58" s="120"/>
      <c r="BD58" s="120"/>
      <c r="BE58" s="120">
        <v>6055.1</v>
      </c>
      <c r="BF58" s="120"/>
      <c r="BG58" s="120"/>
      <c r="BH58" s="120"/>
      <c r="BI58" s="120"/>
      <c r="BJ58" s="120">
        <f t="shared" si="47"/>
        <v>7533.3</v>
      </c>
      <c r="BK58" s="120"/>
      <c r="BL58" s="120"/>
      <c r="BM58" s="120"/>
      <c r="BN58" s="120"/>
      <c r="BO58" s="120"/>
      <c r="BP58" s="120"/>
      <c r="BQ58" s="120"/>
      <c r="BR58" s="120"/>
      <c r="BS58" s="120"/>
      <c r="BT58" s="120"/>
      <c r="BU58" s="120"/>
      <c r="BV58" s="120"/>
      <c r="BW58" s="120"/>
      <c r="BX58" s="120"/>
      <c r="BY58" s="120"/>
      <c r="BZ58" s="120"/>
      <c r="CA58" s="120"/>
      <c r="CB58" s="120">
        <v>7533.3</v>
      </c>
      <c r="CC58" s="120"/>
      <c r="CD58" s="120"/>
      <c r="CE58" s="120"/>
      <c r="CF58" s="120"/>
      <c r="CG58" s="120">
        <f t="shared" si="48"/>
        <v>7533.3</v>
      </c>
      <c r="CH58" s="120"/>
      <c r="CI58" s="120"/>
      <c r="CJ58" s="120"/>
      <c r="CK58" s="120"/>
      <c r="CL58" s="120"/>
      <c r="CM58" s="120"/>
      <c r="CN58" s="120"/>
      <c r="CO58" s="120"/>
      <c r="CP58" s="120"/>
      <c r="CQ58" s="120"/>
      <c r="CR58" s="120"/>
      <c r="CS58" s="120"/>
      <c r="CT58" s="120"/>
      <c r="CU58" s="120"/>
      <c r="CV58" s="120"/>
      <c r="CW58" s="120"/>
      <c r="CX58" s="120"/>
      <c r="CY58" s="120">
        <v>7533.3</v>
      </c>
      <c r="CZ58" s="120"/>
      <c r="DA58" s="120"/>
      <c r="DB58" s="120"/>
      <c r="DC58" s="120">
        <f t="shared" si="27"/>
        <v>7533.3</v>
      </c>
      <c r="DD58" s="78"/>
      <c r="DE58" s="78"/>
      <c r="DF58" s="78"/>
      <c r="DG58" s="78"/>
      <c r="DH58" s="78"/>
      <c r="DI58" s="78"/>
      <c r="DJ58" s="78"/>
      <c r="DK58" s="78"/>
      <c r="DL58" s="78"/>
      <c r="DM58" s="78"/>
      <c r="DN58" s="78"/>
      <c r="DO58" s="78"/>
      <c r="DP58" s="78"/>
      <c r="DQ58" s="78"/>
      <c r="DR58" s="78"/>
      <c r="DS58" s="78"/>
      <c r="DT58" s="78"/>
      <c r="DU58" s="78">
        <v>7533.3</v>
      </c>
      <c r="DV58" s="78"/>
      <c r="DW58" s="78"/>
      <c r="DX58" s="78"/>
    </row>
    <row r="59" spans="1:128" ht="67.5" x14ac:dyDescent="0.2">
      <c r="A59" s="65" t="s">
        <v>363</v>
      </c>
      <c r="B59" s="69">
        <v>3000</v>
      </c>
      <c r="C59" s="66" t="s">
        <v>10</v>
      </c>
      <c r="D59" s="67" t="s">
        <v>10</v>
      </c>
      <c r="E59" s="67" t="s">
        <v>10</v>
      </c>
      <c r="F59" s="66" t="s">
        <v>10</v>
      </c>
      <c r="G59" s="67" t="s">
        <v>10</v>
      </c>
      <c r="H59" s="67" t="s">
        <v>10</v>
      </c>
      <c r="I59" s="66" t="s">
        <v>10</v>
      </c>
      <c r="J59" s="67" t="s">
        <v>10</v>
      </c>
      <c r="K59" s="67" t="s">
        <v>10</v>
      </c>
      <c r="L59" s="64" t="s">
        <v>10</v>
      </c>
      <c r="M59" s="64" t="s">
        <v>10</v>
      </c>
      <c r="N59" s="120">
        <f>SUM(O59:AJ59)</f>
        <v>0</v>
      </c>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f>SUM(AM59:BI59)</f>
        <v>0</v>
      </c>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f t="shared" si="47"/>
        <v>0</v>
      </c>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f t="shared" si="48"/>
        <v>0</v>
      </c>
      <c r="CH59" s="120"/>
      <c r="CI59" s="120"/>
      <c r="CJ59" s="120"/>
      <c r="CK59" s="120"/>
      <c r="CL59" s="120"/>
      <c r="CM59" s="120"/>
      <c r="CN59" s="120"/>
      <c r="CO59" s="120"/>
      <c r="CP59" s="120"/>
      <c r="CQ59" s="120"/>
      <c r="CR59" s="120"/>
      <c r="CS59" s="120"/>
      <c r="CT59" s="120"/>
      <c r="CU59" s="120"/>
      <c r="CV59" s="120"/>
      <c r="CW59" s="120"/>
      <c r="CX59" s="120"/>
      <c r="CY59" s="120"/>
      <c r="CZ59" s="120"/>
      <c r="DA59" s="120"/>
      <c r="DB59" s="120"/>
      <c r="DC59" s="120">
        <f t="shared" si="27"/>
        <v>0</v>
      </c>
      <c r="DD59" s="62"/>
      <c r="DE59" s="62"/>
      <c r="DF59" s="62"/>
      <c r="DG59" s="62"/>
      <c r="DH59" s="62"/>
      <c r="DI59" s="62"/>
      <c r="DJ59" s="62"/>
      <c r="DK59" s="62"/>
      <c r="DL59" s="62"/>
      <c r="DM59" s="62"/>
      <c r="DN59" s="62"/>
      <c r="DO59" s="62"/>
      <c r="DP59" s="62"/>
      <c r="DQ59" s="62"/>
      <c r="DR59" s="62"/>
      <c r="DS59" s="62"/>
      <c r="DT59" s="62"/>
      <c r="DU59" s="62"/>
      <c r="DV59" s="62"/>
      <c r="DW59" s="62"/>
      <c r="DX59" s="62"/>
    </row>
    <row r="60" spans="1:128" ht="94.5" x14ac:dyDescent="0.2">
      <c r="A60" s="60" t="s">
        <v>364</v>
      </c>
      <c r="B60" s="122">
        <v>3100</v>
      </c>
      <c r="C60" s="66" t="s">
        <v>10</v>
      </c>
      <c r="D60" s="67" t="s">
        <v>10</v>
      </c>
      <c r="E60" s="67" t="s">
        <v>10</v>
      </c>
      <c r="F60" s="66" t="s">
        <v>10</v>
      </c>
      <c r="G60" s="67" t="s">
        <v>10</v>
      </c>
      <c r="H60" s="67" t="s">
        <v>10</v>
      </c>
      <c r="I60" s="66" t="s">
        <v>10</v>
      </c>
      <c r="J60" s="67" t="s">
        <v>10</v>
      </c>
      <c r="K60" s="67" t="s">
        <v>10</v>
      </c>
      <c r="L60" s="64" t="s">
        <v>10</v>
      </c>
      <c r="M60" s="64" t="s">
        <v>10</v>
      </c>
      <c r="N60" s="120">
        <f t="shared" ref="N60:AF60" si="63">N61+N66</f>
        <v>16214.599999999999</v>
      </c>
      <c r="O60" s="120">
        <f t="shared" si="63"/>
        <v>0</v>
      </c>
      <c r="P60" s="120">
        <f t="shared" si="63"/>
        <v>1869.9999999999998</v>
      </c>
      <c r="Q60" s="120">
        <f t="shared" si="63"/>
        <v>36.299999999999997</v>
      </c>
      <c r="R60" s="120">
        <f t="shared" si="63"/>
        <v>1390</v>
      </c>
      <c r="S60" s="120">
        <f t="shared" si="63"/>
        <v>1006.5</v>
      </c>
      <c r="T60" s="120">
        <f t="shared" si="63"/>
        <v>0</v>
      </c>
      <c r="U60" s="120">
        <f t="shared" si="63"/>
        <v>0</v>
      </c>
      <c r="V60" s="120">
        <f t="shared" si="63"/>
        <v>0</v>
      </c>
      <c r="W60" s="120">
        <f t="shared" si="63"/>
        <v>130.80000000000001</v>
      </c>
      <c r="X60" s="120">
        <f t="shared" si="63"/>
        <v>0</v>
      </c>
      <c r="Y60" s="120">
        <f t="shared" si="63"/>
        <v>0</v>
      </c>
      <c r="Z60" s="120">
        <f t="shared" si="63"/>
        <v>0</v>
      </c>
      <c r="AA60" s="120">
        <f t="shared" si="63"/>
        <v>0</v>
      </c>
      <c r="AB60" s="120">
        <f t="shared" si="63"/>
        <v>0</v>
      </c>
      <c r="AC60" s="120">
        <f t="shared" si="63"/>
        <v>0</v>
      </c>
      <c r="AD60" s="120">
        <f t="shared" si="63"/>
        <v>0</v>
      </c>
      <c r="AE60" s="120">
        <f t="shared" si="63"/>
        <v>0</v>
      </c>
      <c r="AF60" s="120">
        <f t="shared" si="63"/>
        <v>0</v>
      </c>
      <c r="AG60" s="120">
        <f t="shared" ref="AG60:BD60" si="64">AG61+AG66</f>
        <v>0</v>
      </c>
      <c r="AH60" s="120">
        <f t="shared" si="64"/>
        <v>0</v>
      </c>
      <c r="AI60" s="120">
        <f t="shared" si="64"/>
        <v>11685.1</v>
      </c>
      <c r="AJ60" s="120">
        <f t="shared" si="64"/>
        <v>95.9</v>
      </c>
      <c r="AK60" s="120">
        <f t="shared" ref="AK60" si="65">AK61+AK66</f>
        <v>0</v>
      </c>
      <c r="AL60" s="120">
        <f t="shared" si="64"/>
        <v>15452.7</v>
      </c>
      <c r="AM60" s="120">
        <f t="shared" si="64"/>
        <v>0</v>
      </c>
      <c r="AN60" s="120">
        <f t="shared" si="64"/>
        <v>1680.8999999999999</v>
      </c>
      <c r="AO60" s="120">
        <f t="shared" si="64"/>
        <v>36.299999999999997</v>
      </c>
      <c r="AP60" s="120">
        <f t="shared" si="64"/>
        <v>1380.7</v>
      </c>
      <c r="AQ60" s="120">
        <f t="shared" si="64"/>
        <v>1006.5</v>
      </c>
      <c r="AR60" s="120">
        <f t="shared" si="64"/>
        <v>0</v>
      </c>
      <c r="AS60" s="120">
        <f t="shared" si="64"/>
        <v>0</v>
      </c>
      <c r="AT60" s="120">
        <f t="shared" si="64"/>
        <v>0</v>
      </c>
      <c r="AU60" s="120">
        <f t="shared" si="64"/>
        <v>0</v>
      </c>
      <c r="AV60" s="120">
        <f t="shared" si="64"/>
        <v>0</v>
      </c>
      <c r="AW60" s="120">
        <f t="shared" si="64"/>
        <v>0</v>
      </c>
      <c r="AX60" s="120">
        <f t="shared" si="64"/>
        <v>0</v>
      </c>
      <c r="AY60" s="120">
        <f t="shared" si="64"/>
        <v>0</v>
      </c>
      <c r="AZ60" s="120">
        <f t="shared" si="64"/>
        <v>0</v>
      </c>
      <c r="BA60" s="120">
        <f t="shared" si="64"/>
        <v>0</v>
      </c>
      <c r="BB60" s="120">
        <f t="shared" si="64"/>
        <v>0</v>
      </c>
      <c r="BC60" s="120">
        <f t="shared" si="64"/>
        <v>0</v>
      </c>
      <c r="BD60" s="120">
        <f t="shared" si="64"/>
        <v>0</v>
      </c>
      <c r="BE60" s="120">
        <f t="shared" ref="BE60:BI60" si="66">BE61+BE66</f>
        <v>0</v>
      </c>
      <c r="BF60" s="120">
        <f t="shared" si="66"/>
        <v>0</v>
      </c>
      <c r="BG60" s="120">
        <f t="shared" si="66"/>
        <v>11276.1</v>
      </c>
      <c r="BH60" s="120">
        <f t="shared" ref="BH60" si="67">BH61+BH66</f>
        <v>72.2</v>
      </c>
      <c r="BI60" s="120">
        <f t="shared" si="66"/>
        <v>0</v>
      </c>
      <c r="BJ60" s="120">
        <f t="shared" si="47"/>
        <v>8797.7000000000007</v>
      </c>
      <c r="BK60" s="120">
        <f t="shared" ref="BK60:BX60" si="68">BK61+BK66</f>
        <v>0</v>
      </c>
      <c r="BL60" s="120">
        <f t="shared" si="68"/>
        <v>1980.6000000000001</v>
      </c>
      <c r="BM60" s="120">
        <f t="shared" si="68"/>
        <v>0.9</v>
      </c>
      <c r="BN60" s="120">
        <f t="shared" si="68"/>
        <v>1085.5</v>
      </c>
      <c r="BO60" s="120">
        <f>BO61+BO66</f>
        <v>1051.7</v>
      </c>
      <c r="BP60" s="120">
        <f t="shared" si="68"/>
        <v>0</v>
      </c>
      <c r="BQ60" s="120">
        <f>BQ61+BQ66</f>
        <v>0</v>
      </c>
      <c r="BR60" s="120">
        <f t="shared" si="68"/>
        <v>0</v>
      </c>
      <c r="BS60" s="120">
        <f t="shared" si="68"/>
        <v>88</v>
      </c>
      <c r="BT60" s="120">
        <f t="shared" si="68"/>
        <v>0</v>
      </c>
      <c r="BU60" s="120">
        <f t="shared" si="68"/>
        <v>0</v>
      </c>
      <c r="BV60" s="120">
        <f t="shared" si="68"/>
        <v>0</v>
      </c>
      <c r="BW60" s="120">
        <f>BW61+BW66</f>
        <v>0</v>
      </c>
      <c r="BX60" s="120">
        <f t="shared" si="68"/>
        <v>0</v>
      </c>
      <c r="BY60" s="120">
        <f t="shared" ref="BY60:CE60" si="69">BY61+BY66</f>
        <v>0</v>
      </c>
      <c r="BZ60" s="120">
        <f t="shared" si="69"/>
        <v>0</v>
      </c>
      <c r="CA60" s="120">
        <f>CA61+CA66</f>
        <v>0</v>
      </c>
      <c r="CB60" s="120">
        <f t="shared" si="69"/>
        <v>0</v>
      </c>
      <c r="CC60" s="120">
        <f t="shared" si="69"/>
        <v>1735</v>
      </c>
      <c r="CD60" s="120">
        <f t="shared" si="69"/>
        <v>2760.9</v>
      </c>
      <c r="CE60" s="120">
        <f t="shared" si="69"/>
        <v>95.1</v>
      </c>
      <c r="CF60" s="120">
        <f t="shared" ref="CF60" si="70">CF61+CF66</f>
        <v>0</v>
      </c>
      <c r="CG60" s="120">
        <f t="shared" si="48"/>
        <v>7244.5</v>
      </c>
      <c r="CH60" s="120">
        <f t="shared" ref="CH60:CV60" si="71">CH61+CH66</f>
        <v>0</v>
      </c>
      <c r="CI60" s="120">
        <f t="shared" si="71"/>
        <v>2061.5</v>
      </c>
      <c r="CJ60" s="120">
        <f t="shared" si="71"/>
        <v>0.9</v>
      </c>
      <c r="CK60" s="120">
        <f t="shared" si="71"/>
        <v>1134.4000000000001</v>
      </c>
      <c r="CL60" s="120">
        <f>CL61+CL66</f>
        <v>1095.8</v>
      </c>
      <c r="CM60" s="120">
        <f t="shared" si="71"/>
        <v>0</v>
      </c>
      <c r="CN60" s="120">
        <f t="shared" si="71"/>
        <v>0</v>
      </c>
      <c r="CO60" s="120">
        <f t="shared" si="71"/>
        <v>0</v>
      </c>
      <c r="CP60" s="120">
        <f t="shared" si="71"/>
        <v>88</v>
      </c>
      <c r="CQ60" s="120">
        <f t="shared" si="71"/>
        <v>0</v>
      </c>
      <c r="CR60" s="120">
        <f t="shared" si="71"/>
        <v>0</v>
      </c>
      <c r="CS60" s="120">
        <f t="shared" si="71"/>
        <v>0</v>
      </c>
      <c r="CT60" s="120">
        <f t="shared" si="71"/>
        <v>0</v>
      </c>
      <c r="CU60" s="120">
        <f t="shared" si="71"/>
        <v>0</v>
      </c>
      <c r="CV60" s="120">
        <f t="shared" si="71"/>
        <v>0</v>
      </c>
      <c r="CW60" s="120">
        <f t="shared" ref="CW60:DB60" si="72">CW61+CW66</f>
        <v>0</v>
      </c>
      <c r="CX60" s="120">
        <f t="shared" si="72"/>
        <v>0</v>
      </c>
      <c r="CY60" s="120">
        <f t="shared" si="72"/>
        <v>0</v>
      </c>
      <c r="CZ60" s="120">
        <f t="shared" si="72"/>
        <v>0</v>
      </c>
      <c r="DA60" s="120">
        <f t="shared" si="72"/>
        <v>2760.9</v>
      </c>
      <c r="DB60" s="120">
        <f t="shared" si="72"/>
        <v>103</v>
      </c>
      <c r="DC60" s="120">
        <f t="shared" si="27"/>
        <v>10083.299999999999</v>
      </c>
      <c r="DD60" s="62">
        <f>DD61+DD66</f>
        <v>0</v>
      </c>
      <c r="DE60" s="62">
        <f>DE61+DE66</f>
        <v>2061.5</v>
      </c>
      <c r="DF60" s="62">
        <f>DF61+DF66</f>
        <v>0.8</v>
      </c>
      <c r="DG60" s="62">
        <f>DG61+DG66</f>
        <v>1134.4000000000001</v>
      </c>
      <c r="DH60" s="62">
        <f>DH61+DH66</f>
        <v>1133.8</v>
      </c>
      <c r="DI60" s="62">
        <f t="shared" ref="DI60:DS60" si="73">DI61+DI66</f>
        <v>0</v>
      </c>
      <c r="DJ60" s="62">
        <f t="shared" si="73"/>
        <v>0</v>
      </c>
      <c r="DK60" s="62">
        <f t="shared" si="73"/>
        <v>0</v>
      </c>
      <c r="DL60" s="62">
        <f t="shared" si="73"/>
        <v>88</v>
      </c>
      <c r="DM60" s="62">
        <f t="shared" si="73"/>
        <v>0</v>
      </c>
      <c r="DN60" s="62">
        <f t="shared" si="73"/>
        <v>0</v>
      </c>
      <c r="DO60" s="62">
        <f t="shared" si="73"/>
        <v>0</v>
      </c>
      <c r="DP60" s="62">
        <f t="shared" si="73"/>
        <v>0</v>
      </c>
      <c r="DQ60" s="62">
        <f t="shared" si="73"/>
        <v>0</v>
      </c>
      <c r="DR60" s="62">
        <f t="shared" si="73"/>
        <v>0</v>
      </c>
      <c r="DS60" s="62">
        <f t="shared" si="73"/>
        <v>0</v>
      </c>
      <c r="DT60" s="62"/>
      <c r="DU60" s="62">
        <f t="shared" ref="DU60:DX60" si="74">DU61+DU66</f>
        <v>0</v>
      </c>
      <c r="DV60" s="62">
        <f t="shared" si="74"/>
        <v>0</v>
      </c>
      <c r="DW60" s="62">
        <f t="shared" si="74"/>
        <v>5521.8</v>
      </c>
      <c r="DX60" s="62">
        <f t="shared" si="74"/>
        <v>143</v>
      </c>
    </row>
    <row r="61" spans="1:128" ht="22.5" x14ac:dyDescent="0.2">
      <c r="A61" s="65" t="s">
        <v>365</v>
      </c>
      <c r="B61" s="69">
        <v>3101</v>
      </c>
      <c r="C61" s="66" t="s">
        <v>10</v>
      </c>
      <c r="D61" s="67" t="s">
        <v>10</v>
      </c>
      <c r="E61" s="67" t="s">
        <v>10</v>
      </c>
      <c r="F61" s="66" t="s">
        <v>10</v>
      </c>
      <c r="G61" s="67" t="s">
        <v>10</v>
      </c>
      <c r="H61" s="67" t="s">
        <v>10</v>
      </c>
      <c r="I61" s="66" t="s">
        <v>10</v>
      </c>
      <c r="J61" s="67" t="s">
        <v>10</v>
      </c>
      <c r="K61" s="67" t="s">
        <v>10</v>
      </c>
      <c r="L61" s="64" t="s">
        <v>10</v>
      </c>
      <c r="M61" s="64" t="s">
        <v>10</v>
      </c>
      <c r="N61" s="120">
        <f>SUM(N62:N65)</f>
        <v>2338.6999999999998</v>
      </c>
      <c r="O61" s="120">
        <f>SUM(O63:O65)</f>
        <v>0</v>
      </c>
      <c r="P61" s="120">
        <f>SUM(P63:P65)</f>
        <v>0</v>
      </c>
      <c r="Q61" s="120">
        <f>SUM(Q63:Q65)</f>
        <v>36.299999999999997</v>
      </c>
      <c r="R61" s="120">
        <f>SUM(R62:R65)</f>
        <v>1295.9000000000001</v>
      </c>
      <c r="S61" s="120">
        <f t="shared" ref="S61:AF61" si="75">SUM(S63:S65)</f>
        <v>1006.5</v>
      </c>
      <c r="T61" s="120">
        <f t="shared" si="75"/>
        <v>0</v>
      </c>
      <c r="U61" s="120">
        <f t="shared" si="75"/>
        <v>0</v>
      </c>
      <c r="V61" s="120">
        <f t="shared" si="75"/>
        <v>0</v>
      </c>
      <c r="W61" s="120">
        <f t="shared" si="75"/>
        <v>0</v>
      </c>
      <c r="X61" s="120">
        <f t="shared" si="75"/>
        <v>0</v>
      </c>
      <c r="Y61" s="120">
        <f t="shared" si="75"/>
        <v>0</v>
      </c>
      <c r="Z61" s="120">
        <f t="shared" si="75"/>
        <v>0</v>
      </c>
      <c r="AA61" s="120">
        <f t="shared" si="75"/>
        <v>0</v>
      </c>
      <c r="AB61" s="120">
        <f t="shared" si="75"/>
        <v>0</v>
      </c>
      <c r="AC61" s="120">
        <f t="shared" si="75"/>
        <v>0</v>
      </c>
      <c r="AD61" s="120">
        <f t="shared" si="75"/>
        <v>0</v>
      </c>
      <c r="AE61" s="120">
        <f t="shared" si="75"/>
        <v>0</v>
      </c>
      <c r="AF61" s="120">
        <f t="shared" si="75"/>
        <v>0</v>
      </c>
      <c r="AG61" s="120">
        <f t="shared" ref="AG61:AJ61" si="76">SUM(AG63:AG65)</f>
        <v>0</v>
      </c>
      <c r="AH61" s="120">
        <f t="shared" si="76"/>
        <v>0</v>
      </c>
      <c r="AI61" s="120">
        <f t="shared" si="76"/>
        <v>0</v>
      </c>
      <c r="AJ61" s="120">
        <f t="shared" si="76"/>
        <v>0</v>
      </c>
      <c r="AK61" s="120">
        <f t="shared" ref="AK61" si="77">SUM(AK63:AK65)</f>
        <v>0</v>
      </c>
      <c r="AL61" s="120">
        <f>SUM(AL62:AL65)</f>
        <v>2338.6999999999998</v>
      </c>
      <c r="AM61" s="120">
        <f>SUM(AM63:AM65)</f>
        <v>0</v>
      </c>
      <c r="AN61" s="120">
        <f>SUM(AN63:AN65)</f>
        <v>0</v>
      </c>
      <c r="AO61" s="120">
        <f>SUM(AO63:AO65)</f>
        <v>36.299999999999997</v>
      </c>
      <c r="AP61" s="120">
        <f>SUM(AP62:AP65)</f>
        <v>1295.9000000000001</v>
      </c>
      <c r="AQ61" s="120">
        <f t="shared" ref="AQ61:BI61" si="78">SUM(AQ63:AQ65)</f>
        <v>1006.5</v>
      </c>
      <c r="AR61" s="120">
        <f t="shared" si="78"/>
        <v>0</v>
      </c>
      <c r="AS61" s="120">
        <f t="shared" si="78"/>
        <v>0</v>
      </c>
      <c r="AT61" s="120">
        <f t="shared" si="78"/>
        <v>0</v>
      </c>
      <c r="AU61" s="120">
        <f t="shared" si="78"/>
        <v>0</v>
      </c>
      <c r="AV61" s="120">
        <f t="shared" si="78"/>
        <v>0</v>
      </c>
      <c r="AW61" s="120">
        <f t="shared" si="78"/>
        <v>0</v>
      </c>
      <c r="AX61" s="120">
        <f t="shared" si="78"/>
        <v>0</v>
      </c>
      <c r="AY61" s="120">
        <f t="shared" si="78"/>
        <v>0</v>
      </c>
      <c r="AZ61" s="120">
        <f t="shared" si="78"/>
        <v>0</v>
      </c>
      <c r="BA61" s="120">
        <f t="shared" si="78"/>
        <v>0</v>
      </c>
      <c r="BB61" s="120">
        <f t="shared" si="78"/>
        <v>0</v>
      </c>
      <c r="BC61" s="120">
        <f t="shared" si="78"/>
        <v>0</v>
      </c>
      <c r="BD61" s="120">
        <f t="shared" si="78"/>
        <v>0</v>
      </c>
      <c r="BE61" s="120">
        <f t="shared" si="78"/>
        <v>0</v>
      </c>
      <c r="BF61" s="120">
        <f t="shared" si="78"/>
        <v>0</v>
      </c>
      <c r="BG61" s="120">
        <f t="shared" si="78"/>
        <v>0</v>
      </c>
      <c r="BH61" s="120">
        <f t="shared" ref="BH61" si="79">SUM(BH63:BH65)</f>
        <v>0</v>
      </c>
      <c r="BI61" s="120">
        <f t="shared" si="78"/>
        <v>0</v>
      </c>
      <c r="BJ61" s="120">
        <f t="shared" si="47"/>
        <v>2138.1000000000004</v>
      </c>
      <c r="BK61" s="120">
        <f t="shared" ref="BK61:BX61" si="80">SUM(BK63:BK65)</f>
        <v>0</v>
      </c>
      <c r="BL61" s="120">
        <f t="shared" si="80"/>
        <v>0</v>
      </c>
      <c r="BM61" s="120">
        <f t="shared" si="80"/>
        <v>0.9</v>
      </c>
      <c r="BN61" s="120">
        <f>SUM(BN62:BN65)</f>
        <v>1085.5</v>
      </c>
      <c r="BO61" s="120">
        <f>SUM(BO63:BO65)</f>
        <v>1051.7</v>
      </c>
      <c r="BP61" s="120">
        <f t="shared" si="80"/>
        <v>0</v>
      </c>
      <c r="BQ61" s="120">
        <f>SUM(BQ63:BQ65)</f>
        <v>0</v>
      </c>
      <c r="BR61" s="120">
        <f t="shared" si="80"/>
        <v>0</v>
      </c>
      <c r="BS61" s="120">
        <f t="shared" si="80"/>
        <v>0</v>
      </c>
      <c r="BT61" s="120">
        <f t="shared" si="80"/>
        <v>0</v>
      </c>
      <c r="BU61" s="120">
        <f t="shared" si="80"/>
        <v>0</v>
      </c>
      <c r="BV61" s="120">
        <f t="shared" si="80"/>
        <v>0</v>
      </c>
      <c r="BW61" s="120">
        <f>SUM(BW63:BW65)</f>
        <v>0</v>
      </c>
      <c r="BX61" s="120">
        <f t="shared" si="80"/>
        <v>0</v>
      </c>
      <c r="BY61" s="120">
        <f t="shared" ref="BY61:CE61" si="81">SUM(BY63:BY65)</f>
        <v>0</v>
      </c>
      <c r="BZ61" s="120">
        <f t="shared" si="81"/>
        <v>0</v>
      </c>
      <c r="CA61" s="120">
        <f>SUM(CA63:CA65)</f>
        <v>0</v>
      </c>
      <c r="CB61" s="120">
        <f t="shared" si="81"/>
        <v>0</v>
      </c>
      <c r="CC61" s="120">
        <f t="shared" si="81"/>
        <v>0</v>
      </c>
      <c r="CD61" s="120">
        <f t="shared" si="81"/>
        <v>0</v>
      </c>
      <c r="CE61" s="120">
        <f t="shared" si="81"/>
        <v>0</v>
      </c>
      <c r="CF61" s="120">
        <f t="shared" ref="CF61" si="82">SUM(CF63:CF65)</f>
        <v>0</v>
      </c>
      <c r="CG61" s="120">
        <f t="shared" si="48"/>
        <v>2231.1000000000004</v>
      </c>
      <c r="CH61" s="120">
        <f t="shared" ref="CH61:CV61" si="83">SUM(CH63:CH65)</f>
        <v>0</v>
      </c>
      <c r="CI61" s="120">
        <f t="shared" si="83"/>
        <v>0</v>
      </c>
      <c r="CJ61" s="120">
        <f t="shared" si="83"/>
        <v>0.9</v>
      </c>
      <c r="CK61" s="120">
        <f>SUM(CK62:CK65)</f>
        <v>1134.4000000000001</v>
      </c>
      <c r="CL61" s="120">
        <f>SUM(CL63:CL65)</f>
        <v>1095.8</v>
      </c>
      <c r="CM61" s="120">
        <f t="shared" si="83"/>
        <v>0</v>
      </c>
      <c r="CN61" s="120">
        <f t="shared" si="83"/>
        <v>0</v>
      </c>
      <c r="CO61" s="120">
        <f t="shared" si="83"/>
        <v>0</v>
      </c>
      <c r="CP61" s="120">
        <f t="shared" si="83"/>
        <v>0</v>
      </c>
      <c r="CQ61" s="120">
        <f t="shared" si="83"/>
        <v>0</v>
      </c>
      <c r="CR61" s="120">
        <f t="shared" si="83"/>
        <v>0</v>
      </c>
      <c r="CS61" s="120">
        <f t="shared" si="83"/>
        <v>0</v>
      </c>
      <c r="CT61" s="120">
        <f t="shared" si="83"/>
        <v>0</v>
      </c>
      <c r="CU61" s="120">
        <f t="shared" si="83"/>
        <v>0</v>
      </c>
      <c r="CV61" s="120">
        <f t="shared" si="83"/>
        <v>0</v>
      </c>
      <c r="CW61" s="120">
        <f t="shared" ref="CW61:DB61" si="84">SUM(CW63:CW65)</f>
        <v>0</v>
      </c>
      <c r="CX61" s="120">
        <f t="shared" si="84"/>
        <v>0</v>
      </c>
      <c r="CY61" s="120">
        <f t="shared" si="84"/>
        <v>0</v>
      </c>
      <c r="CZ61" s="120">
        <f t="shared" si="84"/>
        <v>0</v>
      </c>
      <c r="DA61" s="120">
        <f t="shared" si="84"/>
        <v>0</v>
      </c>
      <c r="DB61" s="120">
        <f t="shared" si="84"/>
        <v>0</v>
      </c>
      <c r="DC61" s="120">
        <f t="shared" si="27"/>
        <v>2269</v>
      </c>
      <c r="DD61" s="62">
        <f>SUM(DD63:DD65)</f>
        <v>0</v>
      </c>
      <c r="DE61" s="62">
        <f>SUM(DE63:DE65)</f>
        <v>0</v>
      </c>
      <c r="DF61" s="62">
        <f>SUM(DF63:DF65)</f>
        <v>0.8</v>
      </c>
      <c r="DG61" s="62">
        <f>SUM(DG62:DG65)</f>
        <v>1134.4000000000001</v>
      </c>
      <c r="DH61" s="62">
        <f>SUM(DH63:DH65)</f>
        <v>1133.8</v>
      </c>
      <c r="DI61" s="62">
        <f t="shared" ref="DI61:DS61" si="85">SUM(DI63:DI65)</f>
        <v>0</v>
      </c>
      <c r="DJ61" s="62">
        <f t="shared" si="85"/>
        <v>0</v>
      </c>
      <c r="DK61" s="62">
        <f t="shared" si="85"/>
        <v>0</v>
      </c>
      <c r="DL61" s="62">
        <f t="shared" si="85"/>
        <v>0</v>
      </c>
      <c r="DM61" s="62">
        <f t="shared" si="85"/>
        <v>0</v>
      </c>
      <c r="DN61" s="62">
        <f t="shared" si="85"/>
        <v>0</v>
      </c>
      <c r="DO61" s="62">
        <f t="shared" si="85"/>
        <v>0</v>
      </c>
      <c r="DP61" s="62">
        <f t="shared" si="85"/>
        <v>0</v>
      </c>
      <c r="DQ61" s="62">
        <f t="shared" si="85"/>
        <v>0</v>
      </c>
      <c r="DR61" s="62">
        <f t="shared" si="85"/>
        <v>0</v>
      </c>
      <c r="DS61" s="62">
        <f t="shared" si="85"/>
        <v>0</v>
      </c>
      <c r="DT61" s="62"/>
      <c r="DU61" s="62">
        <f t="shared" ref="DU61:DX61" si="86">SUM(DU63:DU65)</f>
        <v>0</v>
      </c>
      <c r="DV61" s="62">
        <f t="shared" si="86"/>
        <v>0</v>
      </c>
      <c r="DW61" s="62">
        <f t="shared" si="86"/>
        <v>0</v>
      </c>
      <c r="DX61" s="62">
        <f t="shared" si="86"/>
        <v>0</v>
      </c>
    </row>
    <row r="62" spans="1:128" ht="90" customHeight="1" x14ac:dyDescent="0.2">
      <c r="A62" s="86" t="s">
        <v>367</v>
      </c>
      <c r="B62" s="74">
        <v>3102</v>
      </c>
      <c r="C62" s="21" t="s">
        <v>113</v>
      </c>
      <c r="D62" s="21" t="s">
        <v>116</v>
      </c>
      <c r="E62" s="21" t="s">
        <v>178</v>
      </c>
      <c r="F62" s="21" t="s">
        <v>117</v>
      </c>
      <c r="G62" s="42" t="s">
        <v>63</v>
      </c>
      <c r="H62" s="45" t="s">
        <v>118</v>
      </c>
      <c r="I62" s="22" t="s">
        <v>216</v>
      </c>
      <c r="J62" s="22" t="s">
        <v>63</v>
      </c>
      <c r="K62" s="37" t="s">
        <v>213</v>
      </c>
      <c r="L62" s="7" t="s">
        <v>20</v>
      </c>
      <c r="M62" s="7" t="s">
        <v>29</v>
      </c>
      <c r="N62" s="114">
        <f>SUM(O62:AJ62)</f>
        <v>1295.9000000000001</v>
      </c>
      <c r="O62" s="114"/>
      <c r="P62" s="114"/>
      <c r="Q62" s="114"/>
      <c r="R62" s="114">
        <v>1295.9000000000001</v>
      </c>
      <c r="S62" s="114"/>
      <c r="T62" s="114"/>
      <c r="U62" s="114"/>
      <c r="V62" s="114"/>
      <c r="W62" s="114"/>
      <c r="X62" s="114"/>
      <c r="Y62" s="114"/>
      <c r="Z62" s="114"/>
      <c r="AA62" s="114"/>
      <c r="AB62" s="114"/>
      <c r="AC62" s="114"/>
      <c r="AD62" s="114"/>
      <c r="AE62" s="114"/>
      <c r="AF62" s="114"/>
      <c r="AG62" s="114"/>
      <c r="AH62" s="114"/>
      <c r="AI62" s="114"/>
      <c r="AJ62" s="114"/>
      <c r="AK62" s="114"/>
      <c r="AL62" s="114">
        <f>SUM(AM62:BI62)</f>
        <v>1295.9000000000001</v>
      </c>
      <c r="AM62" s="114"/>
      <c r="AN62" s="114"/>
      <c r="AO62" s="114"/>
      <c r="AP62" s="114">
        <f>1295.9</f>
        <v>1295.9000000000001</v>
      </c>
      <c r="AQ62" s="114"/>
      <c r="AR62" s="114"/>
      <c r="AS62" s="114"/>
      <c r="AT62" s="114"/>
      <c r="AU62" s="114"/>
      <c r="AV62" s="114"/>
      <c r="AW62" s="114"/>
      <c r="AX62" s="114"/>
      <c r="AY62" s="114"/>
      <c r="AZ62" s="114"/>
      <c r="BA62" s="114"/>
      <c r="BB62" s="114"/>
      <c r="BC62" s="114"/>
      <c r="BD62" s="114"/>
      <c r="BE62" s="114"/>
      <c r="BF62" s="114"/>
      <c r="BG62" s="114"/>
      <c r="BH62" s="114"/>
      <c r="BI62" s="114"/>
      <c r="BJ62" s="114">
        <f t="shared" si="47"/>
        <v>1085.5</v>
      </c>
      <c r="BK62" s="114"/>
      <c r="BL62" s="114"/>
      <c r="BM62" s="114"/>
      <c r="BN62" s="114">
        <v>1085.5</v>
      </c>
      <c r="BO62" s="114"/>
      <c r="BP62" s="114"/>
      <c r="BQ62" s="114"/>
      <c r="BR62" s="114"/>
      <c r="BS62" s="114"/>
      <c r="BT62" s="114"/>
      <c r="BU62" s="114"/>
      <c r="BV62" s="114"/>
      <c r="BW62" s="114"/>
      <c r="BX62" s="114"/>
      <c r="BY62" s="114"/>
      <c r="BZ62" s="114"/>
      <c r="CA62" s="114"/>
      <c r="CB62" s="114"/>
      <c r="CC62" s="114"/>
      <c r="CD62" s="114"/>
      <c r="CE62" s="114"/>
      <c r="CF62" s="114"/>
      <c r="CG62" s="114">
        <f t="shared" si="48"/>
        <v>1134.4000000000001</v>
      </c>
      <c r="CH62" s="114"/>
      <c r="CI62" s="114"/>
      <c r="CJ62" s="114"/>
      <c r="CK62" s="114">
        <v>1134.4000000000001</v>
      </c>
      <c r="CL62" s="114"/>
      <c r="CM62" s="114"/>
      <c r="CN62" s="114"/>
      <c r="CO62" s="114"/>
      <c r="CP62" s="114"/>
      <c r="CQ62" s="114"/>
      <c r="CR62" s="114"/>
      <c r="CS62" s="114"/>
      <c r="CT62" s="114"/>
      <c r="CU62" s="114"/>
      <c r="CV62" s="114"/>
      <c r="CW62" s="114"/>
      <c r="CX62" s="114"/>
      <c r="CY62" s="114"/>
      <c r="CZ62" s="114"/>
      <c r="DA62" s="114"/>
      <c r="DB62" s="114"/>
      <c r="DC62" s="120">
        <f t="shared" si="27"/>
        <v>1134.4000000000001</v>
      </c>
      <c r="DD62" s="10"/>
      <c r="DE62" s="10"/>
      <c r="DF62" s="10"/>
      <c r="DG62" s="10">
        <v>1134.4000000000001</v>
      </c>
      <c r="DH62" s="10"/>
      <c r="DI62" s="10"/>
      <c r="DJ62" s="10"/>
      <c r="DK62" s="10"/>
      <c r="DL62" s="10"/>
      <c r="DM62" s="10"/>
      <c r="DN62" s="10"/>
      <c r="DO62" s="10"/>
      <c r="DP62" s="10"/>
      <c r="DQ62" s="10"/>
      <c r="DR62" s="10"/>
      <c r="DS62" s="10"/>
      <c r="DT62" s="10"/>
      <c r="DU62" s="10"/>
      <c r="DV62" s="10"/>
      <c r="DW62" s="10"/>
      <c r="DX62" s="10"/>
    </row>
    <row r="63" spans="1:128" ht="39.75" customHeight="1" x14ac:dyDescent="0.2">
      <c r="A63" s="86" t="s">
        <v>366</v>
      </c>
      <c r="B63" s="74">
        <v>3103</v>
      </c>
      <c r="C63" s="21"/>
      <c r="D63" s="42"/>
      <c r="E63" s="42"/>
      <c r="F63" s="21"/>
      <c r="G63" s="42"/>
      <c r="H63" s="42"/>
      <c r="I63" s="21"/>
      <c r="J63" s="42"/>
      <c r="K63" s="42"/>
      <c r="L63" s="7" t="s">
        <v>20</v>
      </c>
      <c r="M63" s="7" t="s">
        <v>37</v>
      </c>
      <c r="N63" s="114">
        <f>SUM(O63:AJ63)</f>
        <v>36.299999999999997</v>
      </c>
      <c r="O63" s="114"/>
      <c r="P63" s="114"/>
      <c r="Q63" s="114">
        <v>36.299999999999997</v>
      </c>
      <c r="R63" s="114"/>
      <c r="S63" s="114"/>
      <c r="T63" s="114"/>
      <c r="U63" s="114"/>
      <c r="V63" s="114"/>
      <c r="W63" s="114"/>
      <c r="X63" s="114"/>
      <c r="Y63" s="114"/>
      <c r="Z63" s="114"/>
      <c r="AA63" s="114"/>
      <c r="AB63" s="114"/>
      <c r="AC63" s="114"/>
      <c r="AD63" s="114"/>
      <c r="AE63" s="114"/>
      <c r="AF63" s="114"/>
      <c r="AG63" s="114"/>
      <c r="AH63" s="114"/>
      <c r="AI63" s="114"/>
      <c r="AJ63" s="114"/>
      <c r="AK63" s="114"/>
      <c r="AL63" s="114">
        <f>SUM(AM63:BI63)</f>
        <v>36.299999999999997</v>
      </c>
      <c r="AM63" s="114"/>
      <c r="AN63" s="114"/>
      <c r="AO63" s="114">
        <v>36.299999999999997</v>
      </c>
      <c r="AP63" s="114"/>
      <c r="AQ63" s="114"/>
      <c r="AR63" s="114"/>
      <c r="AS63" s="114"/>
      <c r="AT63" s="114"/>
      <c r="AU63" s="114"/>
      <c r="AV63" s="114"/>
      <c r="AW63" s="114"/>
      <c r="AX63" s="114"/>
      <c r="AY63" s="114"/>
      <c r="AZ63" s="114"/>
      <c r="BA63" s="114"/>
      <c r="BB63" s="114"/>
      <c r="BC63" s="114"/>
      <c r="BD63" s="114"/>
      <c r="BE63" s="114"/>
      <c r="BF63" s="114"/>
      <c r="BG63" s="114"/>
      <c r="BH63" s="114"/>
      <c r="BI63" s="114"/>
      <c r="BJ63" s="114">
        <f t="shared" si="47"/>
        <v>0.9</v>
      </c>
      <c r="BK63" s="114"/>
      <c r="BL63" s="114"/>
      <c r="BM63" s="114">
        <v>0.9</v>
      </c>
      <c r="BN63" s="114"/>
      <c r="BO63" s="114"/>
      <c r="BP63" s="114"/>
      <c r="BQ63" s="114"/>
      <c r="BR63" s="114"/>
      <c r="BS63" s="114"/>
      <c r="BT63" s="114"/>
      <c r="BU63" s="114"/>
      <c r="BV63" s="114"/>
      <c r="BW63" s="114"/>
      <c r="BX63" s="114"/>
      <c r="BY63" s="114"/>
      <c r="BZ63" s="114"/>
      <c r="CA63" s="114"/>
      <c r="CB63" s="114"/>
      <c r="CC63" s="114"/>
      <c r="CD63" s="114"/>
      <c r="CE63" s="114"/>
      <c r="CF63" s="114"/>
      <c r="CG63" s="114">
        <f t="shared" si="48"/>
        <v>0.9</v>
      </c>
      <c r="CH63" s="114"/>
      <c r="CI63" s="114"/>
      <c r="CJ63" s="114">
        <v>0.9</v>
      </c>
      <c r="CK63" s="114"/>
      <c r="CL63" s="114"/>
      <c r="CM63" s="114"/>
      <c r="CN63" s="114"/>
      <c r="CO63" s="114"/>
      <c r="CP63" s="114"/>
      <c r="CQ63" s="114"/>
      <c r="CR63" s="114"/>
      <c r="CS63" s="114"/>
      <c r="CT63" s="114"/>
      <c r="CU63" s="114"/>
      <c r="CV63" s="114"/>
      <c r="CW63" s="114"/>
      <c r="CX63" s="114"/>
      <c r="CY63" s="114"/>
      <c r="CZ63" s="114"/>
      <c r="DA63" s="114"/>
      <c r="DB63" s="114"/>
      <c r="DC63" s="120">
        <f t="shared" si="27"/>
        <v>0.8</v>
      </c>
      <c r="DD63" s="10"/>
      <c r="DE63" s="10"/>
      <c r="DF63" s="10">
        <v>0.8</v>
      </c>
      <c r="DG63" s="10"/>
      <c r="DH63" s="10"/>
      <c r="DI63" s="10"/>
      <c r="DJ63" s="10"/>
      <c r="DK63" s="10"/>
      <c r="DL63" s="10"/>
      <c r="DM63" s="10"/>
      <c r="DN63" s="10"/>
      <c r="DO63" s="10"/>
      <c r="DP63" s="10"/>
      <c r="DQ63" s="10"/>
      <c r="DR63" s="10"/>
      <c r="DS63" s="10"/>
      <c r="DT63" s="10"/>
      <c r="DU63" s="10"/>
      <c r="DV63" s="10"/>
      <c r="DW63" s="10"/>
      <c r="DX63" s="10"/>
    </row>
    <row r="64" spans="1:128" ht="39.75" customHeight="1" x14ac:dyDescent="0.2">
      <c r="A64" s="86" t="s">
        <v>369</v>
      </c>
      <c r="B64" s="74">
        <v>3104</v>
      </c>
      <c r="C64" s="21"/>
      <c r="D64" s="42"/>
      <c r="E64" s="42"/>
      <c r="F64" s="21"/>
      <c r="G64" s="42"/>
      <c r="H64" s="42"/>
      <c r="I64" s="21"/>
      <c r="J64" s="42"/>
      <c r="K64" s="42"/>
      <c r="L64" s="7" t="s">
        <v>21</v>
      </c>
      <c r="M64" s="7" t="s">
        <v>22</v>
      </c>
      <c r="N64" s="114">
        <f>SUM(O64:AJ64)</f>
        <v>1006.5</v>
      </c>
      <c r="O64" s="114"/>
      <c r="P64" s="114"/>
      <c r="Q64" s="114"/>
      <c r="R64" s="114"/>
      <c r="S64" s="114">
        <v>1006.5</v>
      </c>
      <c r="T64" s="114"/>
      <c r="U64" s="114"/>
      <c r="V64" s="114"/>
      <c r="W64" s="114"/>
      <c r="X64" s="114"/>
      <c r="Y64" s="114"/>
      <c r="Z64" s="114"/>
      <c r="AA64" s="114"/>
      <c r="AB64" s="114"/>
      <c r="AC64" s="114"/>
      <c r="AD64" s="114"/>
      <c r="AE64" s="114"/>
      <c r="AF64" s="114"/>
      <c r="AG64" s="114"/>
      <c r="AH64" s="114"/>
      <c r="AI64" s="114"/>
      <c r="AJ64" s="114"/>
      <c r="AK64" s="114"/>
      <c r="AL64" s="114">
        <f>SUM(AM64:BI64)</f>
        <v>1006.5</v>
      </c>
      <c r="AM64" s="114"/>
      <c r="AN64" s="114"/>
      <c r="AO64" s="114"/>
      <c r="AP64" s="114"/>
      <c r="AQ64" s="114">
        <v>1006.5</v>
      </c>
      <c r="AR64" s="114"/>
      <c r="AS64" s="114"/>
      <c r="AT64" s="114"/>
      <c r="AU64" s="114"/>
      <c r="AV64" s="114"/>
      <c r="AW64" s="114"/>
      <c r="AX64" s="114"/>
      <c r="AY64" s="114"/>
      <c r="AZ64" s="114"/>
      <c r="BA64" s="114"/>
      <c r="BB64" s="114"/>
      <c r="BC64" s="114"/>
      <c r="BD64" s="114"/>
      <c r="BE64" s="114"/>
      <c r="BF64" s="114"/>
      <c r="BG64" s="114"/>
      <c r="BH64" s="114"/>
      <c r="BI64" s="114"/>
      <c r="BJ64" s="114">
        <f t="shared" si="47"/>
        <v>1051.7</v>
      </c>
      <c r="BK64" s="114"/>
      <c r="BL64" s="114"/>
      <c r="BM64" s="114"/>
      <c r="BN64" s="114"/>
      <c r="BO64" s="114">
        <v>1051.7</v>
      </c>
      <c r="BP64" s="114"/>
      <c r="BQ64" s="114"/>
      <c r="BR64" s="114"/>
      <c r="BS64" s="114"/>
      <c r="BT64" s="114"/>
      <c r="BU64" s="114"/>
      <c r="BV64" s="114"/>
      <c r="BW64" s="114"/>
      <c r="BX64" s="114"/>
      <c r="BY64" s="114"/>
      <c r="BZ64" s="114"/>
      <c r="CA64" s="114"/>
      <c r="CB64" s="114"/>
      <c r="CC64" s="114"/>
      <c r="CD64" s="114"/>
      <c r="CE64" s="114"/>
      <c r="CF64" s="114"/>
      <c r="CG64" s="114">
        <f t="shared" si="48"/>
        <v>1095.8</v>
      </c>
      <c r="CH64" s="114"/>
      <c r="CI64" s="114"/>
      <c r="CJ64" s="114"/>
      <c r="CK64" s="114"/>
      <c r="CL64" s="114">
        <v>1095.8</v>
      </c>
      <c r="CM64" s="114"/>
      <c r="CN64" s="114"/>
      <c r="CO64" s="114"/>
      <c r="CP64" s="114"/>
      <c r="CQ64" s="114"/>
      <c r="CR64" s="114"/>
      <c r="CS64" s="114"/>
      <c r="CT64" s="114"/>
      <c r="CU64" s="114"/>
      <c r="CV64" s="114"/>
      <c r="CW64" s="114"/>
      <c r="CX64" s="114"/>
      <c r="CY64" s="114"/>
      <c r="CZ64" s="114"/>
      <c r="DA64" s="114"/>
      <c r="DB64" s="114"/>
      <c r="DC64" s="120">
        <f t="shared" si="27"/>
        <v>1133.8</v>
      </c>
      <c r="DD64" s="10"/>
      <c r="DE64" s="10"/>
      <c r="DF64" s="10"/>
      <c r="DG64" s="10"/>
      <c r="DH64" s="10">
        <v>1133.8</v>
      </c>
      <c r="DI64" s="10"/>
      <c r="DJ64" s="10"/>
      <c r="DK64" s="10"/>
      <c r="DL64" s="10"/>
      <c r="DM64" s="10"/>
      <c r="DN64" s="10"/>
      <c r="DO64" s="10"/>
      <c r="DP64" s="10"/>
      <c r="DQ64" s="10"/>
      <c r="DR64" s="10"/>
      <c r="DS64" s="10"/>
      <c r="DT64" s="10"/>
      <c r="DU64" s="10"/>
      <c r="DV64" s="10"/>
      <c r="DW64" s="10"/>
      <c r="DX64" s="10"/>
    </row>
    <row r="65" spans="1:128" ht="71.25" customHeight="1" x14ac:dyDescent="0.2">
      <c r="A65" s="86" t="s">
        <v>667</v>
      </c>
      <c r="B65" s="74">
        <v>3116</v>
      </c>
      <c r="C65" s="47" t="s">
        <v>129</v>
      </c>
      <c r="D65" s="47" t="s">
        <v>130</v>
      </c>
      <c r="E65" s="47" t="s">
        <v>131</v>
      </c>
      <c r="F65" s="47" t="s">
        <v>126</v>
      </c>
      <c r="G65" s="47" t="s">
        <v>127</v>
      </c>
      <c r="H65" s="47" t="s">
        <v>128</v>
      </c>
      <c r="I65" s="47" t="s">
        <v>126</v>
      </c>
      <c r="J65" s="47" t="s">
        <v>127</v>
      </c>
      <c r="K65" s="47" t="s">
        <v>128</v>
      </c>
      <c r="L65" s="7" t="s">
        <v>20</v>
      </c>
      <c r="M65" s="7" t="s">
        <v>29</v>
      </c>
      <c r="N65" s="114">
        <f>SUM(O65:AJ65)</f>
        <v>0</v>
      </c>
      <c r="O65" s="114"/>
      <c r="P65" s="114"/>
      <c r="Q65" s="114"/>
      <c r="R65" s="114">
        <v>0</v>
      </c>
      <c r="S65" s="114"/>
      <c r="T65" s="114"/>
      <c r="U65" s="114"/>
      <c r="V65" s="114"/>
      <c r="W65" s="114"/>
      <c r="X65" s="114"/>
      <c r="Y65" s="114"/>
      <c r="Z65" s="114"/>
      <c r="AA65" s="114"/>
      <c r="AB65" s="114"/>
      <c r="AC65" s="114"/>
      <c r="AD65" s="114"/>
      <c r="AE65" s="114"/>
      <c r="AF65" s="114"/>
      <c r="AG65" s="114"/>
      <c r="AH65" s="114"/>
      <c r="AI65" s="114"/>
      <c r="AJ65" s="114"/>
      <c r="AK65" s="114"/>
      <c r="AL65" s="114">
        <f>SUM(AM65:BI65)</f>
        <v>0</v>
      </c>
      <c r="AM65" s="114"/>
      <c r="AN65" s="114"/>
      <c r="AO65" s="114"/>
      <c r="AP65" s="114">
        <v>0</v>
      </c>
      <c r="AQ65" s="114"/>
      <c r="AR65" s="114"/>
      <c r="AS65" s="114"/>
      <c r="AT65" s="114"/>
      <c r="AU65" s="114"/>
      <c r="AV65" s="114"/>
      <c r="AW65" s="114"/>
      <c r="AX65" s="114"/>
      <c r="AY65" s="114"/>
      <c r="AZ65" s="114"/>
      <c r="BA65" s="114"/>
      <c r="BB65" s="114"/>
      <c r="BC65" s="114"/>
      <c r="BD65" s="114"/>
      <c r="BE65" s="114"/>
      <c r="BF65" s="114"/>
      <c r="BG65" s="114"/>
      <c r="BH65" s="114"/>
      <c r="BI65" s="114"/>
      <c r="BJ65" s="114">
        <f t="shared" si="47"/>
        <v>0</v>
      </c>
      <c r="BK65" s="114"/>
      <c r="BL65" s="114"/>
      <c r="BM65" s="114"/>
      <c r="BN65" s="114"/>
      <c r="BO65" s="114"/>
      <c r="BP65" s="114"/>
      <c r="BQ65" s="114"/>
      <c r="BR65" s="114"/>
      <c r="BS65" s="114"/>
      <c r="BT65" s="114"/>
      <c r="BU65" s="114"/>
      <c r="BV65" s="114"/>
      <c r="BW65" s="114"/>
      <c r="BX65" s="114"/>
      <c r="BY65" s="114"/>
      <c r="BZ65" s="114"/>
      <c r="CA65" s="114"/>
      <c r="CB65" s="114"/>
      <c r="CC65" s="114"/>
      <c r="CD65" s="114"/>
      <c r="CE65" s="114"/>
      <c r="CF65" s="114"/>
      <c r="CG65" s="114">
        <f t="shared" si="48"/>
        <v>0</v>
      </c>
      <c r="CH65" s="114"/>
      <c r="CI65" s="114"/>
      <c r="CJ65" s="114"/>
      <c r="CK65" s="114"/>
      <c r="CL65" s="114"/>
      <c r="CM65" s="114"/>
      <c r="CN65" s="114"/>
      <c r="CO65" s="114"/>
      <c r="CP65" s="114"/>
      <c r="CQ65" s="114"/>
      <c r="CR65" s="114"/>
      <c r="CS65" s="114"/>
      <c r="CT65" s="114"/>
      <c r="CU65" s="114"/>
      <c r="CV65" s="114"/>
      <c r="CW65" s="114"/>
      <c r="CX65" s="114"/>
      <c r="CY65" s="114"/>
      <c r="CZ65" s="114"/>
      <c r="DA65" s="114"/>
      <c r="DB65" s="114"/>
      <c r="DC65" s="120">
        <f t="shared" si="27"/>
        <v>0</v>
      </c>
      <c r="DD65" s="10"/>
      <c r="DE65" s="10"/>
      <c r="DF65" s="10"/>
      <c r="DG65" s="10"/>
      <c r="DH65" s="10"/>
      <c r="DI65" s="10"/>
      <c r="DJ65" s="10"/>
      <c r="DK65" s="10"/>
      <c r="DL65" s="10"/>
      <c r="DM65" s="10"/>
      <c r="DN65" s="10"/>
      <c r="DO65" s="10"/>
      <c r="DP65" s="10"/>
      <c r="DQ65" s="10"/>
      <c r="DR65" s="10"/>
      <c r="DS65" s="10"/>
      <c r="DT65" s="10"/>
      <c r="DU65" s="10"/>
      <c r="DV65" s="10"/>
      <c r="DW65" s="10"/>
      <c r="DX65" s="10"/>
    </row>
    <row r="66" spans="1:128" ht="22.5" x14ac:dyDescent="0.2">
      <c r="A66" s="65" t="s">
        <v>370</v>
      </c>
      <c r="B66" s="69">
        <v>3200</v>
      </c>
      <c r="C66" s="66"/>
      <c r="D66" s="66"/>
      <c r="E66" s="66"/>
      <c r="F66" s="66"/>
      <c r="G66" s="67"/>
      <c r="H66" s="71"/>
      <c r="I66" s="72"/>
      <c r="J66" s="72"/>
      <c r="K66" s="73"/>
      <c r="L66" s="64"/>
      <c r="M66" s="64"/>
      <c r="N66" s="114">
        <f t="shared" ref="N66:AJ66" si="87">SUM(N67:N78)</f>
        <v>13875.899999999998</v>
      </c>
      <c r="O66" s="120">
        <f t="shared" si="87"/>
        <v>0</v>
      </c>
      <c r="P66" s="120">
        <f t="shared" si="87"/>
        <v>1869.9999999999998</v>
      </c>
      <c r="Q66" s="120">
        <f t="shared" si="87"/>
        <v>0</v>
      </c>
      <c r="R66" s="120">
        <f t="shared" si="87"/>
        <v>94.1</v>
      </c>
      <c r="S66" s="120">
        <f t="shared" si="87"/>
        <v>0</v>
      </c>
      <c r="T66" s="120">
        <f t="shared" si="87"/>
        <v>0</v>
      </c>
      <c r="U66" s="120">
        <f t="shared" si="87"/>
        <v>0</v>
      </c>
      <c r="V66" s="120">
        <f t="shared" si="87"/>
        <v>0</v>
      </c>
      <c r="W66" s="120">
        <f t="shared" si="87"/>
        <v>130.80000000000001</v>
      </c>
      <c r="X66" s="120">
        <f t="shared" si="87"/>
        <v>0</v>
      </c>
      <c r="Y66" s="120">
        <f t="shared" si="87"/>
        <v>0</v>
      </c>
      <c r="Z66" s="120">
        <f t="shared" si="87"/>
        <v>0</v>
      </c>
      <c r="AA66" s="120">
        <f t="shared" si="87"/>
        <v>0</v>
      </c>
      <c r="AB66" s="120">
        <f t="shared" si="87"/>
        <v>0</v>
      </c>
      <c r="AC66" s="120">
        <f t="shared" si="87"/>
        <v>0</v>
      </c>
      <c r="AD66" s="120">
        <f t="shared" si="87"/>
        <v>0</v>
      </c>
      <c r="AE66" s="120">
        <f t="shared" si="87"/>
        <v>0</v>
      </c>
      <c r="AF66" s="120">
        <f t="shared" si="87"/>
        <v>0</v>
      </c>
      <c r="AG66" s="120">
        <f t="shared" si="87"/>
        <v>0</v>
      </c>
      <c r="AH66" s="120">
        <f t="shared" si="87"/>
        <v>0</v>
      </c>
      <c r="AI66" s="120">
        <f t="shared" si="87"/>
        <v>11685.1</v>
      </c>
      <c r="AJ66" s="120">
        <f t="shared" si="87"/>
        <v>95.9</v>
      </c>
      <c r="AK66" s="120">
        <f t="shared" ref="AK66" si="88">SUM(AK67:AK78)</f>
        <v>0</v>
      </c>
      <c r="AL66" s="114">
        <f t="shared" ref="AL66:BI66" si="89">SUM(AL67:AL78)</f>
        <v>13114</v>
      </c>
      <c r="AM66" s="120">
        <f t="shared" si="89"/>
        <v>0</v>
      </c>
      <c r="AN66" s="120">
        <f t="shared" si="89"/>
        <v>1680.8999999999999</v>
      </c>
      <c r="AO66" s="120">
        <f t="shared" si="89"/>
        <v>0</v>
      </c>
      <c r="AP66" s="120">
        <f t="shared" si="89"/>
        <v>84.8</v>
      </c>
      <c r="AQ66" s="120">
        <f t="shared" si="89"/>
        <v>0</v>
      </c>
      <c r="AR66" s="120">
        <f t="shared" si="89"/>
        <v>0</v>
      </c>
      <c r="AS66" s="120">
        <f t="shared" si="89"/>
        <v>0</v>
      </c>
      <c r="AT66" s="120">
        <f t="shared" si="89"/>
        <v>0</v>
      </c>
      <c r="AU66" s="120">
        <f t="shared" si="89"/>
        <v>0</v>
      </c>
      <c r="AV66" s="120">
        <f t="shared" si="89"/>
        <v>0</v>
      </c>
      <c r="AW66" s="120">
        <f t="shared" si="89"/>
        <v>0</v>
      </c>
      <c r="AX66" s="120">
        <f t="shared" si="89"/>
        <v>0</v>
      </c>
      <c r="AY66" s="120">
        <f t="shared" si="89"/>
        <v>0</v>
      </c>
      <c r="AZ66" s="120">
        <f t="shared" si="89"/>
        <v>0</v>
      </c>
      <c r="BA66" s="120">
        <f t="shared" si="89"/>
        <v>0</v>
      </c>
      <c r="BB66" s="120">
        <f t="shared" si="89"/>
        <v>0</v>
      </c>
      <c r="BC66" s="120">
        <f t="shared" si="89"/>
        <v>0</v>
      </c>
      <c r="BD66" s="120">
        <f t="shared" si="89"/>
        <v>0</v>
      </c>
      <c r="BE66" s="120">
        <f t="shared" si="89"/>
        <v>0</v>
      </c>
      <c r="BF66" s="120">
        <f t="shared" si="89"/>
        <v>0</v>
      </c>
      <c r="BG66" s="120">
        <f t="shared" si="89"/>
        <v>11276.1</v>
      </c>
      <c r="BH66" s="120">
        <f t="shared" si="89"/>
        <v>72.2</v>
      </c>
      <c r="BI66" s="120">
        <f t="shared" si="89"/>
        <v>0</v>
      </c>
      <c r="BJ66" s="114">
        <f t="shared" si="47"/>
        <v>6659.6</v>
      </c>
      <c r="BK66" s="120">
        <f>SUM(BK67:BK78)</f>
        <v>0</v>
      </c>
      <c r="BL66" s="120">
        <f t="shared" ref="BL66:CE66" si="90">SUM(BL67:BL78)</f>
        <v>1980.6000000000001</v>
      </c>
      <c r="BM66" s="120">
        <f t="shared" si="90"/>
        <v>0</v>
      </c>
      <c r="BN66" s="120">
        <f t="shared" si="90"/>
        <v>0</v>
      </c>
      <c r="BO66" s="120">
        <f t="shared" si="90"/>
        <v>0</v>
      </c>
      <c r="BP66" s="120">
        <f t="shared" si="90"/>
        <v>0</v>
      </c>
      <c r="BQ66" s="120">
        <f>SUM(BQ67:BQ78)</f>
        <v>0</v>
      </c>
      <c r="BR66" s="120">
        <f t="shared" si="90"/>
        <v>0</v>
      </c>
      <c r="BS66" s="120">
        <f t="shared" si="90"/>
        <v>88</v>
      </c>
      <c r="BT66" s="120">
        <f t="shared" si="90"/>
        <v>0</v>
      </c>
      <c r="BU66" s="120">
        <f t="shared" si="90"/>
        <v>0</v>
      </c>
      <c r="BV66" s="120">
        <f t="shared" si="90"/>
        <v>0</v>
      </c>
      <c r="BW66" s="120">
        <f>SUM(BW67:BW78)</f>
        <v>0</v>
      </c>
      <c r="BX66" s="120">
        <f t="shared" si="90"/>
        <v>0</v>
      </c>
      <c r="BY66" s="120">
        <f>SUM(BY67:BY78)</f>
        <v>0</v>
      </c>
      <c r="BZ66" s="120">
        <f>SUM(BZ67:BZ78)</f>
        <v>0</v>
      </c>
      <c r="CA66" s="120">
        <f>SUM(CA67:CA78)</f>
        <v>0</v>
      </c>
      <c r="CB66" s="120">
        <f t="shared" si="90"/>
        <v>0</v>
      </c>
      <c r="CC66" s="120">
        <f t="shared" si="90"/>
        <v>1735</v>
      </c>
      <c r="CD66" s="120">
        <f t="shared" si="90"/>
        <v>2760.9</v>
      </c>
      <c r="CE66" s="120">
        <f t="shared" si="90"/>
        <v>95.1</v>
      </c>
      <c r="CF66" s="120">
        <f t="shared" ref="CF66" si="91">SUM(CF67:CF78)</f>
        <v>0</v>
      </c>
      <c r="CG66" s="114">
        <f t="shared" si="48"/>
        <v>5013.3999999999996</v>
      </c>
      <c r="CH66" s="120">
        <f>SUM(CH67:CH78)</f>
        <v>0</v>
      </c>
      <c r="CI66" s="120">
        <f t="shared" ref="CI66:CV66" si="92">SUM(CI67:CI78)</f>
        <v>2061.5</v>
      </c>
      <c r="CJ66" s="120">
        <f t="shared" si="92"/>
        <v>0</v>
      </c>
      <c r="CK66" s="120">
        <f t="shared" si="92"/>
        <v>0</v>
      </c>
      <c r="CL66" s="120">
        <f>SUM(CL67:CL78)</f>
        <v>0</v>
      </c>
      <c r="CM66" s="120">
        <f t="shared" si="92"/>
        <v>0</v>
      </c>
      <c r="CN66" s="120">
        <f t="shared" si="92"/>
        <v>0</v>
      </c>
      <c r="CO66" s="120">
        <f t="shared" si="92"/>
        <v>0</v>
      </c>
      <c r="CP66" s="120">
        <f t="shared" si="92"/>
        <v>88</v>
      </c>
      <c r="CQ66" s="120">
        <f t="shared" si="92"/>
        <v>0</v>
      </c>
      <c r="CR66" s="120">
        <f t="shared" si="92"/>
        <v>0</v>
      </c>
      <c r="CS66" s="120">
        <f t="shared" si="92"/>
        <v>0</v>
      </c>
      <c r="CT66" s="120">
        <f t="shared" si="92"/>
        <v>0</v>
      </c>
      <c r="CU66" s="120">
        <f t="shared" si="92"/>
        <v>0</v>
      </c>
      <c r="CV66" s="120">
        <f t="shared" si="92"/>
        <v>0</v>
      </c>
      <c r="CW66" s="120">
        <f t="shared" ref="CW66:DB66" si="93">SUM(CW67:CW78)</f>
        <v>0</v>
      </c>
      <c r="CX66" s="120">
        <f t="shared" si="93"/>
        <v>0</v>
      </c>
      <c r="CY66" s="120">
        <f t="shared" si="93"/>
        <v>0</v>
      </c>
      <c r="CZ66" s="120">
        <f t="shared" si="93"/>
        <v>0</v>
      </c>
      <c r="DA66" s="120">
        <f t="shared" si="93"/>
        <v>2760.9</v>
      </c>
      <c r="DB66" s="120">
        <f t="shared" si="93"/>
        <v>103</v>
      </c>
      <c r="DC66" s="120">
        <f t="shared" si="27"/>
        <v>7814.3</v>
      </c>
      <c r="DD66" s="62">
        <f>SUM(DD67:DD78)</f>
        <v>0</v>
      </c>
      <c r="DE66" s="62">
        <f>SUM(DE67:DE78)</f>
        <v>2061.5</v>
      </c>
      <c r="DF66" s="62">
        <f>SUM(DF67:DF78)</f>
        <v>0</v>
      </c>
      <c r="DG66" s="62">
        <f>SUM(DG67:DG78)</f>
        <v>0</v>
      </c>
      <c r="DH66" s="62">
        <f>SUM(DH67:DH78)</f>
        <v>0</v>
      </c>
      <c r="DI66" s="62">
        <f t="shared" ref="DI66:DS66" si="94">SUM(DI67:DI78)</f>
        <v>0</v>
      </c>
      <c r="DJ66" s="62">
        <f t="shared" si="94"/>
        <v>0</v>
      </c>
      <c r="DK66" s="62">
        <f t="shared" si="94"/>
        <v>0</v>
      </c>
      <c r="DL66" s="62">
        <f t="shared" si="94"/>
        <v>88</v>
      </c>
      <c r="DM66" s="62">
        <f t="shared" si="94"/>
        <v>0</v>
      </c>
      <c r="DN66" s="62">
        <f t="shared" si="94"/>
        <v>0</v>
      </c>
      <c r="DO66" s="62">
        <f t="shared" si="94"/>
        <v>0</v>
      </c>
      <c r="DP66" s="62">
        <f t="shared" si="94"/>
        <v>0</v>
      </c>
      <c r="DQ66" s="62">
        <f t="shared" si="94"/>
        <v>0</v>
      </c>
      <c r="DR66" s="62">
        <f t="shared" si="94"/>
        <v>0</v>
      </c>
      <c r="DS66" s="62">
        <f t="shared" si="94"/>
        <v>0</v>
      </c>
      <c r="DT66" s="62"/>
      <c r="DU66" s="62">
        <f t="shared" ref="DU66:DX66" si="95">SUM(DU67:DU78)</f>
        <v>0</v>
      </c>
      <c r="DV66" s="62">
        <f t="shared" si="95"/>
        <v>0</v>
      </c>
      <c r="DW66" s="62">
        <f t="shared" si="95"/>
        <v>5521.8</v>
      </c>
      <c r="DX66" s="62">
        <f t="shared" si="95"/>
        <v>143</v>
      </c>
    </row>
    <row r="67" spans="1:128" s="87" customFormat="1" ht="192" x14ac:dyDescent="0.2">
      <c r="A67" s="86" t="s">
        <v>371</v>
      </c>
      <c r="B67" s="74">
        <v>3201</v>
      </c>
      <c r="C67" s="21" t="s">
        <v>132</v>
      </c>
      <c r="D67" s="21" t="s">
        <v>133</v>
      </c>
      <c r="E67" s="21" t="s">
        <v>134</v>
      </c>
      <c r="F67" s="47" t="s">
        <v>135</v>
      </c>
      <c r="G67" s="47" t="s">
        <v>136</v>
      </c>
      <c r="H67" s="47" t="s">
        <v>137</v>
      </c>
      <c r="I67" s="22" t="s">
        <v>211</v>
      </c>
      <c r="J67" s="22" t="s">
        <v>206</v>
      </c>
      <c r="K67" s="22" t="s">
        <v>212</v>
      </c>
      <c r="L67" s="7" t="s">
        <v>20</v>
      </c>
      <c r="M67" s="7" t="s">
        <v>24</v>
      </c>
      <c r="N67" s="114">
        <f t="shared" ref="N67:N79" si="96">SUM(O67:AJ67)</f>
        <v>468.9</v>
      </c>
      <c r="O67" s="114"/>
      <c r="P67" s="114">
        <f>144.6+15.2+255.6+27.7+4</f>
        <v>447.09999999999997</v>
      </c>
      <c r="Q67" s="120"/>
      <c r="R67" s="120">
        <v>21.8</v>
      </c>
      <c r="S67" s="120"/>
      <c r="T67" s="120"/>
      <c r="U67" s="120"/>
      <c r="V67" s="120"/>
      <c r="W67" s="120"/>
      <c r="X67" s="120"/>
      <c r="Y67" s="120"/>
      <c r="Z67" s="120"/>
      <c r="AA67" s="120"/>
      <c r="AB67" s="120"/>
      <c r="AC67" s="120"/>
      <c r="AD67" s="120"/>
      <c r="AE67" s="120"/>
      <c r="AF67" s="120"/>
      <c r="AG67" s="120"/>
      <c r="AH67" s="120"/>
      <c r="AI67" s="120"/>
      <c r="AJ67" s="120"/>
      <c r="AK67" s="120"/>
      <c r="AL67" s="114">
        <f t="shared" ref="AL67:AL79" si="97">SUM(AM67:BI67)</f>
        <v>277.7</v>
      </c>
      <c r="AM67" s="120"/>
      <c r="AN67" s="114">
        <f>144.6+15.2+70.5+27.7</f>
        <v>258</v>
      </c>
      <c r="AO67" s="120"/>
      <c r="AP67" s="120">
        <v>19.7</v>
      </c>
      <c r="AQ67" s="120"/>
      <c r="AR67" s="120"/>
      <c r="AS67" s="120"/>
      <c r="AT67" s="120"/>
      <c r="AU67" s="120"/>
      <c r="AV67" s="120"/>
      <c r="AW67" s="120"/>
      <c r="AX67" s="120"/>
      <c r="AY67" s="120"/>
      <c r="AZ67" s="120"/>
      <c r="BA67" s="120"/>
      <c r="BB67" s="120"/>
      <c r="BC67" s="120"/>
      <c r="BD67" s="120"/>
      <c r="BE67" s="120"/>
      <c r="BF67" s="120"/>
      <c r="BG67" s="120"/>
      <c r="BH67" s="120"/>
      <c r="BI67" s="120"/>
      <c r="BJ67" s="114">
        <f t="shared" si="47"/>
        <v>323</v>
      </c>
      <c r="BK67" s="120"/>
      <c r="BL67" s="114">
        <f>167.7+15.9+106.7+29.4+3.3</f>
        <v>323</v>
      </c>
      <c r="BM67" s="120"/>
      <c r="BN67" s="120"/>
      <c r="BO67" s="120"/>
      <c r="BP67" s="120"/>
      <c r="BQ67" s="120"/>
      <c r="BR67" s="120"/>
      <c r="BS67" s="120"/>
      <c r="BT67" s="120"/>
      <c r="BU67" s="120"/>
      <c r="BV67" s="120"/>
      <c r="BW67" s="120"/>
      <c r="BX67" s="120"/>
      <c r="BY67" s="120"/>
      <c r="BZ67" s="120"/>
      <c r="CA67" s="120"/>
      <c r="CB67" s="120"/>
      <c r="CC67" s="120"/>
      <c r="CD67" s="120"/>
      <c r="CE67" s="120"/>
      <c r="CF67" s="120"/>
      <c r="CG67" s="114">
        <f t="shared" si="48"/>
        <v>366.5</v>
      </c>
      <c r="CH67" s="120"/>
      <c r="CI67" s="114">
        <f>189.2+18.3+123.4+32.1+3.5</f>
        <v>366.5</v>
      </c>
      <c r="CJ67" s="120"/>
      <c r="CK67" s="120"/>
      <c r="CL67" s="120"/>
      <c r="CM67" s="120"/>
      <c r="CN67" s="120"/>
      <c r="CO67" s="120"/>
      <c r="CP67" s="120"/>
      <c r="CQ67" s="120"/>
      <c r="CR67" s="120"/>
      <c r="CS67" s="120"/>
      <c r="CT67" s="120"/>
      <c r="CU67" s="120"/>
      <c r="CV67" s="120"/>
      <c r="CW67" s="120"/>
      <c r="CX67" s="120"/>
      <c r="CY67" s="120"/>
      <c r="CZ67" s="120"/>
      <c r="DA67" s="120"/>
      <c r="DB67" s="120"/>
      <c r="DC67" s="120">
        <f t="shared" si="27"/>
        <v>366.5</v>
      </c>
      <c r="DD67" s="78"/>
      <c r="DE67" s="114">
        <f>189.2+18.3+123.4+32.1+3.5</f>
        <v>366.5</v>
      </c>
      <c r="DF67" s="78"/>
      <c r="DG67" s="78"/>
      <c r="DH67" s="78"/>
      <c r="DI67" s="78"/>
      <c r="DJ67" s="78"/>
      <c r="DK67" s="78"/>
      <c r="DL67" s="78"/>
      <c r="DM67" s="78"/>
      <c r="DN67" s="78"/>
      <c r="DO67" s="78"/>
      <c r="DP67" s="78"/>
      <c r="DQ67" s="78"/>
      <c r="DR67" s="78"/>
      <c r="DS67" s="78"/>
      <c r="DT67" s="78"/>
      <c r="DU67" s="78"/>
      <c r="DV67" s="78"/>
      <c r="DW67" s="78"/>
      <c r="DX67" s="78"/>
    </row>
    <row r="68" spans="1:128" s="87" customFormat="1" ht="45" x14ac:dyDescent="0.2">
      <c r="A68" s="86" t="s">
        <v>372</v>
      </c>
      <c r="B68" s="74">
        <v>3202</v>
      </c>
      <c r="C68" s="75"/>
      <c r="D68" s="75"/>
      <c r="E68" s="75"/>
      <c r="F68" s="75"/>
      <c r="G68" s="76"/>
      <c r="H68" s="85"/>
      <c r="I68" s="22"/>
      <c r="J68" s="22"/>
      <c r="K68" s="37"/>
      <c r="L68" s="77" t="s">
        <v>20</v>
      </c>
      <c r="M68" s="77" t="s">
        <v>24</v>
      </c>
      <c r="N68" s="114">
        <f t="shared" si="96"/>
        <v>605.59999999999991</v>
      </c>
      <c r="O68" s="114"/>
      <c r="P68" s="114">
        <f>351.2+34.8+112.2+35.1</f>
        <v>533.29999999999995</v>
      </c>
      <c r="Q68" s="120"/>
      <c r="R68" s="120">
        <v>72.3</v>
      </c>
      <c r="S68" s="120"/>
      <c r="T68" s="120"/>
      <c r="U68" s="120"/>
      <c r="V68" s="120"/>
      <c r="W68" s="120"/>
      <c r="X68" s="120"/>
      <c r="Y68" s="120"/>
      <c r="Z68" s="120"/>
      <c r="AA68" s="120"/>
      <c r="AB68" s="120"/>
      <c r="AC68" s="120"/>
      <c r="AD68" s="120"/>
      <c r="AE68" s="120"/>
      <c r="AF68" s="120"/>
      <c r="AG68" s="120"/>
      <c r="AH68" s="120"/>
      <c r="AI68" s="120"/>
      <c r="AJ68" s="120"/>
      <c r="AK68" s="120"/>
      <c r="AL68" s="114">
        <f t="shared" si="97"/>
        <v>598.4</v>
      </c>
      <c r="AM68" s="120"/>
      <c r="AN68" s="114">
        <f>351.2+34.8+112.2+35.1</f>
        <v>533.29999999999995</v>
      </c>
      <c r="AO68" s="120"/>
      <c r="AP68" s="120">
        <v>65.099999999999994</v>
      </c>
      <c r="AQ68" s="120"/>
      <c r="AR68" s="120"/>
      <c r="AS68" s="120"/>
      <c r="AT68" s="120"/>
      <c r="AU68" s="120"/>
      <c r="AV68" s="120"/>
      <c r="AW68" s="120"/>
      <c r="AX68" s="120"/>
      <c r="AY68" s="120"/>
      <c r="AZ68" s="120"/>
      <c r="BA68" s="120"/>
      <c r="BB68" s="120"/>
      <c r="BC68" s="120"/>
      <c r="BD68" s="120"/>
      <c r="BE68" s="120"/>
      <c r="BF68" s="120"/>
      <c r="BG68" s="120"/>
      <c r="BH68" s="120"/>
      <c r="BI68" s="120"/>
      <c r="BJ68" s="114">
        <f t="shared" si="47"/>
        <v>721.40000000000009</v>
      </c>
      <c r="BK68" s="120"/>
      <c r="BL68" s="114">
        <f>367+36.7+281+36.7</f>
        <v>721.40000000000009</v>
      </c>
      <c r="BM68" s="120"/>
      <c r="BN68" s="120"/>
      <c r="BO68" s="120"/>
      <c r="BP68" s="120"/>
      <c r="BQ68" s="120"/>
      <c r="BR68" s="120"/>
      <c r="BS68" s="120"/>
      <c r="BT68" s="120"/>
      <c r="BU68" s="120"/>
      <c r="BV68" s="120"/>
      <c r="BW68" s="120"/>
      <c r="BX68" s="120"/>
      <c r="BY68" s="120"/>
      <c r="BZ68" s="120"/>
      <c r="CA68" s="120"/>
      <c r="CB68" s="120"/>
      <c r="CC68" s="120"/>
      <c r="CD68" s="120"/>
      <c r="CE68" s="120"/>
      <c r="CF68" s="120"/>
      <c r="CG68" s="114">
        <f t="shared" si="48"/>
        <v>721.40000000000009</v>
      </c>
      <c r="CH68" s="120"/>
      <c r="CI68" s="114">
        <f>367+36.7+281+36.7</f>
        <v>721.40000000000009</v>
      </c>
      <c r="CJ68" s="120"/>
      <c r="CK68" s="120"/>
      <c r="CL68" s="120"/>
      <c r="CM68" s="120"/>
      <c r="CN68" s="120"/>
      <c r="CO68" s="120"/>
      <c r="CP68" s="120"/>
      <c r="CQ68" s="120"/>
      <c r="CR68" s="120"/>
      <c r="CS68" s="120"/>
      <c r="CT68" s="120"/>
      <c r="CU68" s="120"/>
      <c r="CV68" s="120"/>
      <c r="CW68" s="120"/>
      <c r="CX68" s="120"/>
      <c r="CY68" s="120"/>
      <c r="CZ68" s="120"/>
      <c r="DA68" s="120"/>
      <c r="DB68" s="120"/>
      <c r="DC68" s="120">
        <f t="shared" si="27"/>
        <v>721.40000000000009</v>
      </c>
      <c r="DD68" s="78"/>
      <c r="DE68" s="114">
        <f>367+36.7+281+36.7</f>
        <v>721.40000000000009</v>
      </c>
      <c r="DF68" s="78"/>
      <c r="DG68" s="78"/>
      <c r="DH68" s="78"/>
      <c r="DI68" s="78"/>
      <c r="DJ68" s="78"/>
      <c r="DK68" s="78"/>
      <c r="DL68" s="78"/>
      <c r="DM68" s="78"/>
      <c r="DN68" s="78"/>
      <c r="DO68" s="78"/>
      <c r="DP68" s="78"/>
      <c r="DQ68" s="78"/>
      <c r="DR68" s="78"/>
      <c r="DS68" s="78"/>
      <c r="DT68" s="78"/>
      <c r="DU68" s="78"/>
      <c r="DV68" s="78"/>
      <c r="DW68" s="78"/>
      <c r="DX68" s="78"/>
    </row>
    <row r="69" spans="1:128" s="87" customFormat="1" ht="146.25" x14ac:dyDescent="0.2">
      <c r="A69" s="86" t="s">
        <v>421</v>
      </c>
      <c r="B69" s="74">
        <v>3207</v>
      </c>
      <c r="C69" s="75"/>
      <c r="D69" s="75"/>
      <c r="E69" s="75"/>
      <c r="F69" s="75"/>
      <c r="G69" s="76"/>
      <c r="H69" s="85"/>
      <c r="I69" s="22"/>
      <c r="J69" s="22"/>
      <c r="K69" s="37"/>
      <c r="L69" s="77"/>
      <c r="M69" s="77"/>
      <c r="N69" s="114">
        <f t="shared" si="96"/>
        <v>0</v>
      </c>
      <c r="O69" s="120"/>
      <c r="P69" s="120"/>
      <c r="Q69" s="120"/>
      <c r="R69" s="120"/>
      <c r="S69" s="120"/>
      <c r="T69" s="120"/>
      <c r="U69" s="120"/>
      <c r="V69" s="114">
        <v>0</v>
      </c>
      <c r="W69" s="120"/>
      <c r="X69" s="120"/>
      <c r="Y69" s="120"/>
      <c r="Z69" s="120"/>
      <c r="AA69" s="120"/>
      <c r="AB69" s="120"/>
      <c r="AC69" s="120"/>
      <c r="AD69" s="120"/>
      <c r="AE69" s="120"/>
      <c r="AF69" s="120"/>
      <c r="AG69" s="120"/>
      <c r="AH69" s="120"/>
      <c r="AI69" s="120"/>
      <c r="AJ69" s="120"/>
      <c r="AK69" s="120"/>
      <c r="AL69" s="114">
        <f t="shared" si="97"/>
        <v>0</v>
      </c>
      <c r="AM69" s="120"/>
      <c r="AN69" s="120"/>
      <c r="AO69" s="120"/>
      <c r="AP69" s="120"/>
      <c r="AQ69" s="120"/>
      <c r="AR69" s="120"/>
      <c r="AS69" s="120"/>
      <c r="AT69" s="120"/>
      <c r="AU69" s="114"/>
      <c r="AV69" s="120"/>
      <c r="AW69" s="120"/>
      <c r="AX69" s="120"/>
      <c r="AY69" s="120"/>
      <c r="AZ69" s="120"/>
      <c r="BA69" s="120"/>
      <c r="BB69" s="120"/>
      <c r="BC69" s="120"/>
      <c r="BD69" s="120"/>
      <c r="BE69" s="120"/>
      <c r="BF69" s="120"/>
      <c r="BG69" s="120"/>
      <c r="BH69" s="120"/>
      <c r="BI69" s="120"/>
      <c r="BJ69" s="114">
        <f t="shared" si="47"/>
        <v>0</v>
      </c>
      <c r="BK69" s="120"/>
      <c r="BL69" s="120"/>
      <c r="BM69" s="120"/>
      <c r="BN69" s="120"/>
      <c r="BO69" s="120"/>
      <c r="BP69" s="120"/>
      <c r="BQ69" s="120"/>
      <c r="BR69" s="120"/>
      <c r="BS69" s="114">
        <v>0</v>
      </c>
      <c r="BT69" s="120"/>
      <c r="BU69" s="120"/>
      <c r="BV69" s="120"/>
      <c r="BW69" s="120"/>
      <c r="BX69" s="120"/>
      <c r="BY69" s="120"/>
      <c r="BZ69" s="120"/>
      <c r="CA69" s="120"/>
      <c r="CB69" s="120"/>
      <c r="CC69" s="120"/>
      <c r="CD69" s="120"/>
      <c r="CE69" s="120"/>
      <c r="CF69" s="120"/>
      <c r="CG69" s="114">
        <f t="shared" si="48"/>
        <v>0</v>
      </c>
      <c r="CH69" s="120"/>
      <c r="CI69" s="120"/>
      <c r="CJ69" s="120"/>
      <c r="CK69" s="120"/>
      <c r="CL69" s="120"/>
      <c r="CM69" s="120"/>
      <c r="CN69" s="120"/>
      <c r="CO69" s="120"/>
      <c r="CP69" s="114"/>
      <c r="CQ69" s="120"/>
      <c r="CR69" s="120"/>
      <c r="CS69" s="120"/>
      <c r="CT69" s="120"/>
      <c r="CU69" s="120"/>
      <c r="CV69" s="120"/>
      <c r="CW69" s="120"/>
      <c r="CX69" s="120"/>
      <c r="CY69" s="120"/>
      <c r="CZ69" s="120"/>
      <c r="DA69" s="120"/>
      <c r="DB69" s="120"/>
      <c r="DC69" s="120">
        <f t="shared" si="27"/>
        <v>0</v>
      </c>
      <c r="DD69" s="78"/>
      <c r="DE69" s="78"/>
      <c r="DF69" s="78"/>
      <c r="DG69" s="78"/>
      <c r="DH69" s="78"/>
      <c r="DI69" s="78"/>
      <c r="DJ69" s="78"/>
      <c r="DK69" s="78"/>
      <c r="DL69" s="88">
        <v>0</v>
      </c>
      <c r="DM69" s="78"/>
      <c r="DN69" s="78"/>
      <c r="DO69" s="78"/>
      <c r="DP69" s="78"/>
      <c r="DQ69" s="78"/>
      <c r="DR69" s="78"/>
      <c r="DS69" s="78"/>
      <c r="DT69" s="78"/>
      <c r="DU69" s="78"/>
      <c r="DV69" s="78"/>
      <c r="DW69" s="78"/>
      <c r="DX69" s="78"/>
    </row>
    <row r="70" spans="1:128" s="87" customFormat="1" ht="33.75" x14ac:dyDescent="0.2">
      <c r="A70" s="86" t="s">
        <v>422</v>
      </c>
      <c r="B70" s="74">
        <v>3228</v>
      </c>
      <c r="C70" s="75"/>
      <c r="D70" s="75"/>
      <c r="E70" s="75"/>
      <c r="F70" s="75"/>
      <c r="G70" s="76"/>
      <c r="H70" s="85"/>
      <c r="I70" s="22"/>
      <c r="J70" s="22"/>
      <c r="K70" s="37"/>
      <c r="L70" s="77"/>
      <c r="M70" s="77"/>
      <c r="N70" s="114">
        <f t="shared" si="96"/>
        <v>11781</v>
      </c>
      <c r="O70" s="120"/>
      <c r="P70" s="120"/>
      <c r="Q70" s="120"/>
      <c r="R70" s="120"/>
      <c r="S70" s="120"/>
      <c r="T70" s="120"/>
      <c r="U70" s="120"/>
      <c r="V70" s="120"/>
      <c r="W70" s="120"/>
      <c r="X70" s="120"/>
      <c r="Y70" s="120"/>
      <c r="Z70" s="120"/>
      <c r="AA70" s="120"/>
      <c r="AB70" s="120"/>
      <c r="AC70" s="120"/>
      <c r="AD70" s="120"/>
      <c r="AE70" s="120"/>
      <c r="AF70" s="120"/>
      <c r="AG70" s="120"/>
      <c r="AH70" s="114">
        <v>0</v>
      </c>
      <c r="AI70" s="114">
        <f>11685.1</f>
        <v>11685.1</v>
      </c>
      <c r="AJ70" s="114">
        <v>95.9</v>
      </c>
      <c r="AK70" s="114"/>
      <c r="AL70" s="114">
        <f t="shared" si="97"/>
        <v>11348.300000000001</v>
      </c>
      <c r="AM70" s="120"/>
      <c r="AN70" s="120"/>
      <c r="AO70" s="120"/>
      <c r="AP70" s="120"/>
      <c r="AQ70" s="120"/>
      <c r="AR70" s="120"/>
      <c r="AS70" s="120"/>
      <c r="AT70" s="120"/>
      <c r="AU70" s="120"/>
      <c r="AV70" s="120"/>
      <c r="AW70" s="120"/>
      <c r="AX70" s="120"/>
      <c r="AY70" s="120"/>
      <c r="AZ70" s="120"/>
      <c r="BA70" s="120"/>
      <c r="BB70" s="120"/>
      <c r="BC70" s="120"/>
      <c r="BD70" s="120"/>
      <c r="BE70" s="120"/>
      <c r="BF70" s="120"/>
      <c r="BG70" s="114">
        <v>11276.1</v>
      </c>
      <c r="BH70" s="114">
        <v>72.2</v>
      </c>
      <c r="BI70" s="114"/>
      <c r="BJ70" s="114">
        <f t="shared" si="47"/>
        <v>2856</v>
      </c>
      <c r="BK70" s="120"/>
      <c r="BL70" s="120"/>
      <c r="BM70" s="120"/>
      <c r="BN70" s="120"/>
      <c r="BO70" s="120"/>
      <c r="BP70" s="120"/>
      <c r="BQ70" s="120"/>
      <c r="BR70" s="120"/>
      <c r="BS70" s="120"/>
      <c r="BT70" s="120"/>
      <c r="BU70" s="120"/>
      <c r="BV70" s="120"/>
      <c r="BW70" s="120"/>
      <c r="BX70" s="120"/>
      <c r="BY70" s="120"/>
      <c r="BZ70" s="120"/>
      <c r="CA70" s="120"/>
      <c r="CB70" s="120"/>
      <c r="CC70" s="120"/>
      <c r="CD70" s="114">
        <v>2760.9</v>
      </c>
      <c r="CE70" s="114">
        <v>95.1</v>
      </c>
      <c r="CF70" s="114"/>
      <c r="CG70" s="114">
        <f t="shared" si="48"/>
        <v>2863.9</v>
      </c>
      <c r="CH70" s="120"/>
      <c r="CI70" s="120"/>
      <c r="CJ70" s="120"/>
      <c r="CK70" s="120"/>
      <c r="CL70" s="120"/>
      <c r="CM70" s="120"/>
      <c r="CN70" s="120"/>
      <c r="CO70" s="120"/>
      <c r="CP70" s="120"/>
      <c r="CQ70" s="120"/>
      <c r="CR70" s="120"/>
      <c r="CS70" s="120"/>
      <c r="CT70" s="120"/>
      <c r="CU70" s="120"/>
      <c r="CV70" s="120"/>
      <c r="CW70" s="120"/>
      <c r="CX70" s="120"/>
      <c r="CY70" s="120"/>
      <c r="CZ70" s="120"/>
      <c r="DA70" s="114">
        <v>2760.9</v>
      </c>
      <c r="DB70" s="114">
        <v>103</v>
      </c>
      <c r="DC70" s="120">
        <f t="shared" si="27"/>
        <v>5664.8</v>
      </c>
      <c r="DD70" s="78"/>
      <c r="DE70" s="78"/>
      <c r="DF70" s="78"/>
      <c r="DG70" s="78"/>
      <c r="DH70" s="78"/>
      <c r="DI70" s="78"/>
      <c r="DJ70" s="78"/>
      <c r="DK70" s="78"/>
      <c r="DL70" s="78"/>
      <c r="DM70" s="78"/>
      <c r="DN70" s="78"/>
      <c r="DO70" s="78"/>
      <c r="DP70" s="78"/>
      <c r="DQ70" s="78"/>
      <c r="DR70" s="78"/>
      <c r="DS70" s="78"/>
      <c r="DT70" s="78"/>
      <c r="DU70" s="78"/>
      <c r="DV70" s="78"/>
      <c r="DW70" s="88">
        <v>5521.8</v>
      </c>
      <c r="DX70" s="88">
        <v>143</v>
      </c>
    </row>
    <row r="71" spans="1:128" s="87" customFormat="1" ht="236.25" x14ac:dyDescent="0.2">
      <c r="A71" s="86" t="s">
        <v>423</v>
      </c>
      <c r="B71" s="74">
        <v>3236</v>
      </c>
      <c r="C71" s="75"/>
      <c r="D71" s="75"/>
      <c r="E71" s="75"/>
      <c r="F71" s="75"/>
      <c r="G71" s="76"/>
      <c r="H71" s="85"/>
      <c r="I71" s="22"/>
      <c r="J71" s="22"/>
      <c r="K71" s="37"/>
      <c r="L71" s="77"/>
      <c r="M71" s="77"/>
      <c r="N71" s="114">
        <f t="shared" si="96"/>
        <v>0</v>
      </c>
      <c r="O71" s="120"/>
      <c r="P71" s="120"/>
      <c r="Q71" s="120"/>
      <c r="R71" s="120"/>
      <c r="S71" s="120"/>
      <c r="T71" s="120"/>
      <c r="U71" s="120"/>
      <c r="V71" s="120"/>
      <c r="W71" s="120"/>
      <c r="X71" s="120"/>
      <c r="Y71" s="120"/>
      <c r="Z71" s="120"/>
      <c r="AA71" s="120"/>
      <c r="AB71" s="120"/>
      <c r="AC71" s="120"/>
      <c r="AD71" s="120"/>
      <c r="AE71" s="120"/>
      <c r="AF71" s="120"/>
      <c r="AG71" s="114">
        <v>0</v>
      </c>
      <c r="AH71" s="120"/>
      <c r="AI71" s="120"/>
      <c r="AJ71" s="120"/>
      <c r="AK71" s="120"/>
      <c r="AL71" s="114">
        <f t="shared" si="97"/>
        <v>0</v>
      </c>
      <c r="AM71" s="120"/>
      <c r="AN71" s="120"/>
      <c r="AO71" s="120"/>
      <c r="AP71" s="120"/>
      <c r="AQ71" s="120"/>
      <c r="AR71" s="120"/>
      <c r="AS71" s="120"/>
      <c r="AT71" s="120"/>
      <c r="AU71" s="120"/>
      <c r="AV71" s="120"/>
      <c r="AW71" s="120"/>
      <c r="AX71" s="120"/>
      <c r="AY71" s="120"/>
      <c r="AZ71" s="120"/>
      <c r="BA71" s="120"/>
      <c r="BB71" s="120"/>
      <c r="BC71" s="120"/>
      <c r="BD71" s="120"/>
      <c r="BE71" s="120"/>
      <c r="BF71" s="114">
        <v>0</v>
      </c>
      <c r="BG71" s="120"/>
      <c r="BH71" s="120"/>
      <c r="BI71" s="120"/>
      <c r="BJ71" s="114">
        <f t="shared" si="47"/>
        <v>1735</v>
      </c>
      <c r="BK71" s="120"/>
      <c r="BL71" s="120"/>
      <c r="BM71" s="120"/>
      <c r="BN71" s="120"/>
      <c r="BO71" s="120"/>
      <c r="BP71" s="120"/>
      <c r="BQ71" s="120"/>
      <c r="BR71" s="120"/>
      <c r="BS71" s="120"/>
      <c r="BT71" s="120"/>
      <c r="BU71" s="120"/>
      <c r="BV71" s="120"/>
      <c r="BW71" s="120"/>
      <c r="BX71" s="120"/>
      <c r="BY71" s="120"/>
      <c r="BZ71" s="120"/>
      <c r="CA71" s="120"/>
      <c r="CB71" s="120"/>
      <c r="CC71" s="114">
        <v>1735</v>
      </c>
      <c r="CD71" s="120"/>
      <c r="CE71" s="120"/>
      <c r="CF71" s="120"/>
      <c r="CG71" s="114">
        <f t="shared" si="48"/>
        <v>0</v>
      </c>
      <c r="CH71" s="120"/>
      <c r="CI71" s="120"/>
      <c r="CJ71" s="120"/>
      <c r="CK71" s="120"/>
      <c r="CL71" s="120"/>
      <c r="CM71" s="120"/>
      <c r="CN71" s="120"/>
      <c r="CO71" s="120"/>
      <c r="CP71" s="120"/>
      <c r="CQ71" s="120"/>
      <c r="CR71" s="120"/>
      <c r="CS71" s="120"/>
      <c r="CT71" s="120"/>
      <c r="CU71" s="120"/>
      <c r="CV71" s="120"/>
      <c r="CW71" s="120"/>
      <c r="CX71" s="120"/>
      <c r="CY71" s="120"/>
      <c r="CZ71" s="114"/>
      <c r="DA71" s="120"/>
      <c r="DB71" s="120"/>
      <c r="DC71" s="120">
        <f t="shared" si="27"/>
        <v>0</v>
      </c>
      <c r="DD71" s="78"/>
      <c r="DE71" s="78"/>
      <c r="DF71" s="78"/>
      <c r="DG71" s="78"/>
      <c r="DH71" s="78"/>
      <c r="DI71" s="78"/>
      <c r="DJ71" s="78"/>
      <c r="DK71" s="78"/>
      <c r="DL71" s="78"/>
      <c r="DM71" s="78"/>
      <c r="DN71" s="78"/>
      <c r="DO71" s="78"/>
      <c r="DP71" s="78"/>
      <c r="DQ71" s="78"/>
      <c r="DR71" s="78"/>
      <c r="DS71" s="78"/>
      <c r="DT71" s="78"/>
      <c r="DU71" s="78"/>
      <c r="DV71" s="88">
        <v>0</v>
      </c>
      <c r="DW71" s="78"/>
      <c r="DX71" s="78"/>
    </row>
    <row r="72" spans="1:128" s="87" customFormat="1" ht="247.5" x14ac:dyDescent="0.2">
      <c r="A72" s="86" t="s">
        <v>424</v>
      </c>
      <c r="B72" s="74">
        <v>3237</v>
      </c>
      <c r="C72" s="75"/>
      <c r="D72" s="75"/>
      <c r="E72" s="75"/>
      <c r="F72" s="75"/>
      <c r="G72" s="76"/>
      <c r="H72" s="85"/>
      <c r="I72" s="22"/>
      <c r="J72" s="22"/>
      <c r="K72" s="37"/>
      <c r="L72" s="77"/>
      <c r="M72" s="77"/>
      <c r="N72" s="114">
        <f t="shared" si="96"/>
        <v>0</v>
      </c>
      <c r="O72" s="120"/>
      <c r="P72" s="120"/>
      <c r="Q72" s="120"/>
      <c r="R72" s="120"/>
      <c r="S72" s="120"/>
      <c r="T72" s="120"/>
      <c r="U72" s="120"/>
      <c r="V72" s="120"/>
      <c r="W72" s="120"/>
      <c r="X72" s="120"/>
      <c r="Y72" s="120"/>
      <c r="Z72" s="120"/>
      <c r="AA72" s="120"/>
      <c r="AB72" s="120"/>
      <c r="AC72" s="120"/>
      <c r="AD72" s="120"/>
      <c r="AE72" s="120"/>
      <c r="AF72" s="120"/>
      <c r="AG72" s="114"/>
      <c r="AH72" s="114">
        <v>0</v>
      </c>
      <c r="AI72" s="120"/>
      <c r="AJ72" s="120"/>
      <c r="AK72" s="120"/>
      <c r="AL72" s="114">
        <f t="shared" si="97"/>
        <v>0</v>
      </c>
      <c r="AM72" s="120"/>
      <c r="AN72" s="120"/>
      <c r="AO72" s="120"/>
      <c r="AP72" s="120"/>
      <c r="AQ72" s="120"/>
      <c r="AR72" s="120"/>
      <c r="AS72" s="120"/>
      <c r="AT72" s="120"/>
      <c r="AU72" s="120"/>
      <c r="AV72" s="120"/>
      <c r="AW72" s="120"/>
      <c r="AX72" s="120"/>
      <c r="AY72" s="120"/>
      <c r="AZ72" s="120"/>
      <c r="BA72" s="120"/>
      <c r="BB72" s="120"/>
      <c r="BC72" s="120"/>
      <c r="BD72" s="120"/>
      <c r="BE72" s="120"/>
      <c r="BF72" s="114"/>
      <c r="BG72" s="114">
        <v>0</v>
      </c>
      <c r="BH72" s="114"/>
      <c r="BI72" s="120"/>
      <c r="BJ72" s="114">
        <f t="shared" si="47"/>
        <v>0</v>
      </c>
      <c r="BK72" s="120"/>
      <c r="BL72" s="120"/>
      <c r="BM72" s="120"/>
      <c r="BN72" s="120"/>
      <c r="BO72" s="120"/>
      <c r="BP72" s="120"/>
      <c r="BQ72" s="120"/>
      <c r="BR72" s="120"/>
      <c r="BS72" s="120"/>
      <c r="BT72" s="120"/>
      <c r="BU72" s="120"/>
      <c r="BV72" s="120"/>
      <c r="BW72" s="120"/>
      <c r="BX72" s="120"/>
      <c r="BY72" s="120"/>
      <c r="BZ72" s="120"/>
      <c r="CA72" s="120"/>
      <c r="CB72" s="120"/>
      <c r="CC72" s="114"/>
      <c r="CD72" s="114">
        <v>0</v>
      </c>
      <c r="CE72" s="120"/>
      <c r="CF72" s="120"/>
      <c r="CG72" s="114">
        <f t="shared" si="48"/>
        <v>0</v>
      </c>
      <c r="CH72" s="120"/>
      <c r="CI72" s="120"/>
      <c r="CJ72" s="120"/>
      <c r="CK72" s="120"/>
      <c r="CL72" s="120"/>
      <c r="CM72" s="120"/>
      <c r="CN72" s="120"/>
      <c r="CO72" s="120"/>
      <c r="CP72" s="120"/>
      <c r="CQ72" s="120"/>
      <c r="CR72" s="120"/>
      <c r="CS72" s="120"/>
      <c r="CT72" s="120"/>
      <c r="CU72" s="120"/>
      <c r="CV72" s="120"/>
      <c r="CW72" s="120"/>
      <c r="CX72" s="120"/>
      <c r="CY72" s="120"/>
      <c r="CZ72" s="114"/>
      <c r="DA72" s="120"/>
      <c r="DB72" s="120"/>
      <c r="DC72" s="120">
        <f t="shared" ref="DC72:DC85" si="98">SUM(DD72:DX72)</f>
        <v>0</v>
      </c>
      <c r="DD72" s="78"/>
      <c r="DE72" s="78"/>
      <c r="DF72" s="78"/>
      <c r="DG72" s="78"/>
      <c r="DH72" s="78"/>
      <c r="DI72" s="78"/>
      <c r="DJ72" s="78"/>
      <c r="DK72" s="78"/>
      <c r="DL72" s="78"/>
      <c r="DM72" s="78"/>
      <c r="DN72" s="78"/>
      <c r="DO72" s="78"/>
      <c r="DP72" s="78"/>
      <c r="DQ72" s="78"/>
      <c r="DR72" s="78"/>
      <c r="DS72" s="78"/>
      <c r="DT72" s="78"/>
      <c r="DU72" s="78"/>
      <c r="DV72" s="88"/>
      <c r="DW72" s="78"/>
      <c r="DX72" s="78"/>
    </row>
    <row r="73" spans="1:128" ht="101.25" x14ac:dyDescent="0.2">
      <c r="A73" s="86" t="s">
        <v>425</v>
      </c>
      <c r="B73" s="74">
        <v>3239</v>
      </c>
      <c r="C73" s="21"/>
      <c r="D73" s="42"/>
      <c r="E73" s="42"/>
      <c r="F73" s="21"/>
      <c r="G73" s="42"/>
      <c r="H73" s="42"/>
      <c r="I73" s="21"/>
      <c r="J73" s="42"/>
      <c r="K73" s="42"/>
      <c r="L73" s="7" t="s">
        <v>20</v>
      </c>
      <c r="M73" s="7" t="s">
        <v>24</v>
      </c>
      <c r="N73" s="114">
        <f t="shared" si="96"/>
        <v>878.8</v>
      </c>
      <c r="O73" s="114"/>
      <c r="P73" s="114">
        <f>17.5+861.3</f>
        <v>878.8</v>
      </c>
      <c r="Q73" s="114"/>
      <c r="R73" s="114"/>
      <c r="S73" s="114"/>
      <c r="T73" s="114"/>
      <c r="U73" s="114"/>
      <c r="V73" s="114"/>
      <c r="W73" s="114"/>
      <c r="X73" s="114"/>
      <c r="Y73" s="114"/>
      <c r="Z73" s="114"/>
      <c r="AA73" s="114"/>
      <c r="AB73" s="114"/>
      <c r="AC73" s="114"/>
      <c r="AD73" s="114"/>
      <c r="AE73" s="114"/>
      <c r="AF73" s="114"/>
      <c r="AG73" s="114"/>
      <c r="AH73" s="114"/>
      <c r="AI73" s="114"/>
      <c r="AJ73" s="114"/>
      <c r="AK73" s="114"/>
      <c r="AL73" s="114">
        <f t="shared" si="97"/>
        <v>878.8</v>
      </c>
      <c r="AM73" s="114"/>
      <c r="AN73" s="114">
        <f>17.5+861.3</f>
        <v>878.8</v>
      </c>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f t="shared" si="47"/>
        <v>924.8</v>
      </c>
      <c r="BK73" s="114"/>
      <c r="BL73" s="114">
        <f>907+17.8</f>
        <v>924.8</v>
      </c>
      <c r="BM73" s="114"/>
      <c r="BN73" s="114"/>
      <c r="BO73" s="114"/>
      <c r="BP73" s="114"/>
      <c r="BQ73" s="114"/>
      <c r="BR73" s="114"/>
      <c r="BS73" s="114"/>
      <c r="BT73" s="114"/>
      <c r="BU73" s="114"/>
      <c r="BV73" s="114"/>
      <c r="BW73" s="114"/>
      <c r="BX73" s="114"/>
      <c r="BY73" s="114"/>
      <c r="BZ73" s="114"/>
      <c r="CA73" s="114"/>
      <c r="CB73" s="114"/>
      <c r="CC73" s="114"/>
      <c r="CD73" s="114"/>
      <c r="CE73" s="114"/>
      <c r="CF73" s="114"/>
      <c r="CG73" s="114">
        <f t="shared" si="48"/>
        <v>961.69999999999993</v>
      </c>
      <c r="CH73" s="114"/>
      <c r="CI73" s="114">
        <f>943.9+17.8</f>
        <v>961.69999999999993</v>
      </c>
      <c r="CJ73" s="114"/>
      <c r="CK73" s="114"/>
      <c r="CL73" s="114"/>
      <c r="CM73" s="114"/>
      <c r="CN73" s="114"/>
      <c r="CO73" s="114"/>
      <c r="CP73" s="114"/>
      <c r="CQ73" s="114"/>
      <c r="CR73" s="114"/>
      <c r="CS73" s="114"/>
      <c r="CT73" s="114"/>
      <c r="CU73" s="114"/>
      <c r="CV73" s="114"/>
      <c r="CW73" s="114"/>
      <c r="CX73" s="114"/>
      <c r="CY73" s="114"/>
      <c r="CZ73" s="114"/>
      <c r="DA73" s="114"/>
      <c r="DB73" s="114"/>
      <c r="DC73" s="120">
        <f t="shared" si="98"/>
        <v>961.69999999999993</v>
      </c>
      <c r="DD73" s="10"/>
      <c r="DE73" s="10">
        <f>943.9+17.8</f>
        <v>961.69999999999993</v>
      </c>
      <c r="DF73" s="10"/>
      <c r="DG73" s="10"/>
      <c r="DH73" s="10"/>
      <c r="DI73" s="10"/>
      <c r="DJ73" s="10"/>
      <c r="DK73" s="10"/>
      <c r="DL73" s="10"/>
      <c r="DM73" s="10"/>
      <c r="DN73" s="10"/>
      <c r="DO73" s="10"/>
      <c r="DP73" s="10"/>
      <c r="DQ73" s="10"/>
      <c r="DR73" s="10"/>
      <c r="DS73" s="10"/>
      <c r="DT73" s="10"/>
      <c r="DU73" s="10"/>
      <c r="DV73" s="10"/>
      <c r="DW73" s="10"/>
      <c r="DX73" s="10"/>
    </row>
    <row r="74" spans="1:128" ht="123.75" x14ac:dyDescent="0.2">
      <c r="A74" s="86" t="s">
        <v>426</v>
      </c>
      <c r="B74" s="74">
        <v>3241</v>
      </c>
      <c r="C74" s="21"/>
      <c r="D74" s="42"/>
      <c r="E74" s="42"/>
      <c r="F74" s="21"/>
      <c r="G74" s="42"/>
      <c r="H74" s="42"/>
      <c r="I74" s="21"/>
      <c r="J74" s="42"/>
      <c r="K74" s="42"/>
      <c r="L74" s="7"/>
      <c r="M74" s="7"/>
      <c r="N74" s="114">
        <f t="shared" si="96"/>
        <v>0</v>
      </c>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f t="shared" si="97"/>
        <v>0</v>
      </c>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f t="shared" si="47"/>
        <v>0</v>
      </c>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f t="shared" si="48"/>
        <v>0</v>
      </c>
      <c r="CH74" s="114"/>
      <c r="CI74" s="114"/>
      <c r="CJ74" s="114"/>
      <c r="CK74" s="114"/>
      <c r="CL74" s="114"/>
      <c r="CM74" s="114"/>
      <c r="CN74" s="114"/>
      <c r="CO74" s="114"/>
      <c r="CP74" s="114"/>
      <c r="CQ74" s="114"/>
      <c r="CR74" s="114"/>
      <c r="CS74" s="114"/>
      <c r="CT74" s="114"/>
      <c r="CU74" s="114"/>
      <c r="CV74" s="114"/>
      <c r="CW74" s="114"/>
      <c r="CX74" s="114"/>
      <c r="CY74" s="114"/>
      <c r="CZ74" s="114"/>
      <c r="DA74" s="114"/>
      <c r="DB74" s="114"/>
      <c r="DC74" s="120">
        <f t="shared" si="98"/>
        <v>0</v>
      </c>
      <c r="DD74" s="10"/>
      <c r="DE74" s="10"/>
      <c r="DF74" s="10"/>
      <c r="DG74" s="10"/>
      <c r="DH74" s="10"/>
      <c r="DI74" s="10"/>
      <c r="DJ74" s="10"/>
      <c r="DK74" s="10"/>
      <c r="DL74" s="10"/>
      <c r="DM74" s="10"/>
      <c r="DN74" s="10"/>
      <c r="DO74" s="10"/>
      <c r="DP74" s="10"/>
      <c r="DQ74" s="10"/>
      <c r="DR74" s="10"/>
      <c r="DS74" s="10"/>
      <c r="DT74" s="10"/>
      <c r="DU74" s="10"/>
      <c r="DV74" s="10"/>
      <c r="DW74" s="10"/>
      <c r="DX74" s="10"/>
    </row>
    <row r="75" spans="1:128" ht="135" x14ac:dyDescent="0.2">
      <c r="A75" s="86" t="s">
        <v>427</v>
      </c>
      <c r="B75" s="74">
        <v>3254</v>
      </c>
      <c r="C75" s="21"/>
      <c r="D75" s="42"/>
      <c r="E75" s="42"/>
      <c r="F75" s="21"/>
      <c r="G75" s="42"/>
      <c r="H75" s="42"/>
      <c r="I75" s="21"/>
      <c r="J75" s="42"/>
      <c r="K75" s="42"/>
      <c r="L75" s="7" t="s">
        <v>24</v>
      </c>
      <c r="M75" s="7" t="s">
        <v>37</v>
      </c>
      <c r="N75" s="114">
        <f t="shared" si="96"/>
        <v>130.80000000000001</v>
      </c>
      <c r="O75" s="114"/>
      <c r="P75" s="114"/>
      <c r="Q75" s="114"/>
      <c r="R75" s="114"/>
      <c r="S75" s="114"/>
      <c r="T75" s="114"/>
      <c r="U75" s="114"/>
      <c r="V75" s="114"/>
      <c r="W75" s="114">
        <v>130.80000000000001</v>
      </c>
      <c r="X75" s="114"/>
      <c r="Y75" s="114"/>
      <c r="Z75" s="114"/>
      <c r="AA75" s="114"/>
      <c r="AB75" s="114"/>
      <c r="AC75" s="114"/>
      <c r="AD75" s="114"/>
      <c r="AE75" s="114"/>
      <c r="AF75" s="114"/>
      <c r="AG75" s="114"/>
      <c r="AH75" s="114"/>
      <c r="AI75" s="114"/>
      <c r="AJ75" s="114"/>
      <c r="AK75" s="114"/>
      <c r="AL75" s="114">
        <f t="shared" si="97"/>
        <v>0</v>
      </c>
      <c r="AM75" s="114"/>
      <c r="AN75" s="114"/>
      <c r="AO75" s="114"/>
      <c r="AP75" s="114"/>
      <c r="AQ75" s="114"/>
      <c r="AR75" s="114"/>
      <c r="AS75" s="114"/>
      <c r="AT75" s="114"/>
      <c r="AU75" s="114">
        <v>0</v>
      </c>
      <c r="AV75" s="114"/>
      <c r="AW75" s="114"/>
      <c r="AX75" s="114"/>
      <c r="AY75" s="114"/>
      <c r="AZ75" s="114"/>
      <c r="BA75" s="114"/>
      <c r="BB75" s="114"/>
      <c r="BC75" s="114"/>
      <c r="BD75" s="114"/>
      <c r="BE75" s="114"/>
      <c r="BF75" s="114"/>
      <c r="BG75" s="114"/>
      <c r="BH75" s="114"/>
      <c r="BI75" s="114"/>
      <c r="BJ75" s="114">
        <f t="shared" si="47"/>
        <v>88</v>
      </c>
      <c r="BK75" s="114"/>
      <c r="BL75" s="114"/>
      <c r="BM75" s="114"/>
      <c r="BN75" s="114"/>
      <c r="BO75" s="114"/>
      <c r="BP75" s="114"/>
      <c r="BQ75" s="114"/>
      <c r="BR75" s="114"/>
      <c r="BS75" s="114">
        <v>88</v>
      </c>
      <c r="BT75" s="114"/>
      <c r="BU75" s="114"/>
      <c r="BV75" s="114"/>
      <c r="BW75" s="114"/>
      <c r="BX75" s="114"/>
      <c r="BY75" s="114"/>
      <c r="BZ75" s="114"/>
      <c r="CA75" s="114"/>
      <c r="CB75" s="114"/>
      <c r="CC75" s="114"/>
      <c r="CD75" s="114"/>
      <c r="CE75" s="114"/>
      <c r="CF75" s="114"/>
      <c r="CG75" s="114">
        <f t="shared" si="48"/>
        <v>88</v>
      </c>
      <c r="CH75" s="114"/>
      <c r="CI75" s="114"/>
      <c r="CJ75" s="114"/>
      <c r="CK75" s="114"/>
      <c r="CL75" s="114"/>
      <c r="CM75" s="114"/>
      <c r="CN75" s="114"/>
      <c r="CO75" s="114"/>
      <c r="CP75" s="114">
        <v>88</v>
      </c>
      <c r="CQ75" s="114"/>
      <c r="CR75" s="114"/>
      <c r="CS75" s="114"/>
      <c r="CT75" s="114"/>
      <c r="CU75" s="114"/>
      <c r="CV75" s="114"/>
      <c r="CW75" s="114"/>
      <c r="CX75" s="114"/>
      <c r="CY75" s="114"/>
      <c r="CZ75" s="114"/>
      <c r="DA75" s="114"/>
      <c r="DB75" s="114"/>
      <c r="DC75" s="120">
        <f t="shared" si="98"/>
        <v>88</v>
      </c>
      <c r="DD75" s="10"/>
      <c r="DE75" s="10"/>
      <c r="DF75" s="10"/>
      <c r="DG75" s="10"/>
      <c r="DH75" s="10"/>
      <c r="DI75" s="10"/>
      <c r="DJ75" s="10"/>
      <c r="DK75" s="10"/>
      <c r="DL75" s="10">
        <v>88</v>
      </c>
      <c r="DM75" s="10"/>
      <c r="DN75" s="10"/>
      <c r="DO75" s="10"/>
      <c r="DP75" s="10"/>
      <c r="DQ75" s="10"/>
      <c r="DR75" s="10"/>
      <c r="DS75" s="10"/>
      <c r="DT75" s="10"/>
      <c r="DU75" s="10"/>
      <c r="DV75" s="10"/>
      <c r="DW75" s="10"/>
      <c r="DX75" s="10"/>
    </row>
    <row r="76" spans="1:128" ht="33.75" x14ac:dyDescent="0.2">
      <c r="A76" s="86" t="s">
        <v>428</v>
      </c>
      <c r="B76" s="74">
        <v>3260</v>
      </c>
      <c r="C76" s="21"/>
      <c r="D76" s="42"/>
      <c r="E76" s="42"/>
      <c r="F76" s="21"/>
      <c r="G76" s="42"/>
      <c r="H76" s="42"/>
      <c r="I76" s="21"/>
      <c r="J76" s="42"/>
      <c r="K76" s="42"/>
      <c r="L76" s="7" t="s">
        <v>20</v>
      </c>
      <c r="M76" s="7" t="s">
        <v>24</v>
      </c>
      <c r="N76" s="114">
        <f t="shared" si="96"/>
        <v>10.8</v>
      </c>
      <c r="O76" s="114"/>
      <c r="P76" s="114">
        <v>10.8</v>
      </c>
      <c r="Q76" s="114"/>
      <c r="R76" s="114"/>
      <c r="S76" s="114"/>
      <c r="T76" s="114"/>
      <c r="U76" s="114"/>
      <c r="V76" s="114"/>
      <c r="W76" s="114"/>
      <c r="X76" s="114"/>
      <c r="Y76" s="114"/>
      <c r="Z76" s="114"/>
      <c r="AA76" s="114"/>
      <c r="AB76" s="114"/>
      <c r="AC76" s="114"/>
      <c r="AD76" s="114"/>
      <c r="AE76" s="114"/>
      <c r="AF76" s="114"/>
      <c r="AG76" s="114"/>
      <c r="AH76" s="114"/>
      <c r="AI76" s="114"/>
      <c r="AJ76" s="114"/>
      <c r="AK76" s="114"/>
      <c r="AL76" s="114">
        <f t="shared" si="97"/>
        <v>10.8</v>
      </c>
      <c r="AM76" s="114"/>
      <c r="AN76" s="114">
        <v>10.8</v>
      </c>
      <c r="AO76" s="114"/>
      <c r="AP76" s="114"/>
      <c r="AQ76" s="114"/>
      <c r="AR76" s="114"/>
      <c r="AS76" s="114"/>
      <c r="AT76" s="114"/>
      <c r="AU76" s="114"/>
      <c r="AV76" s="114"/>
      <c r="AW76" s="114"/>
      <c r="AX76" s="114"/>
      <c r="AY76" s="114"/>
      <c r="AZ76" s="114"/>
      <c r="BA76" s="114"/>
      <c r="BB76" s="114"/>
      <c r="BC76" s="114"/>
      <c r="BD76" s="114"/>
      <c r="BE76" s="114"/>
      <c r="BF76" s="114"/>
      <c r="BG76" s="114"/>
      <c r="BH76" s="114"/>
      <c r="BI76" s="114"/>
      <c r="BJ76" s="114">
        <f t="shared" si="47"/>
        <v>11.4</v>
      </c>
      <c r="BK76" s="114"/>
      <c r="BL76" s="114">
        <v>11.4</v>
      </c>
      <c r="BM76" s="114"/>
      <c r="BN76" s="114"/>
      <c r="BO76" s="114"/>
      <c r="BP76" s="114"/>
      <c r="BQ76" s="114"/>
      <c r="BR76" s="114"/>
      <c r="BS76" s="114"/>
      <c r="BT76" s="114"/>
      <c r="BU76" s="114"/>
      <c r="BV76" s="114"/>
      <c r="BW76" s="114"/>
      <c r="BX76" s="114"/>
      <c r="BY76" s="114"/>
      <c r="BZ76" s="114"/>
      <c r="CA76" s="114"/>
      <c r="CB76" s="114"/>
      <c r="CC76" s="114"/>
      <c r="CD76" s="114"/>
      <c r="CE76" s="114"/>
      <c r="CF76" s="114"/>
      <c r="CG76" s="114">
        <f t="shared" si="48"/>
        <v>11.9</v>
      </c>
      <c r="CH76" s="114"/>
      <c r="CI76" s="114">
        <v>11.9</v>
      </c>
      <c r="CJ76" s="114"/>
      <c r="CK76" s="114"/>
      <c r="CL76" s="114"/>
      <c r="CM76" s="114"/>
      <c r="CN76" s="114"/>
      <c r="CO76" s="114"/>
      <c r="CP76" s="114"/>
      <c r="CQ76" s="114"/>
      <c r="CR76" s="114"/>
      <c r="CS76" s="114"/>
      <c r="CT76" s="114"/>
      <c r="CU76" s="114"/>
      <c r="CV76" s="114"/>
      <c r="CW76" s="114"/>
      <c r="CX76" s="114"/>
      <c r="CY76" s="114"/>
      <c r="CZ76" s="114"/>
      <c r="DA76" s="114"/>
      <c r="DB76" s="114"/>
      <c r="DC76" s="120">
        <f t="shared" si="98"/>
        <v>11.9</v>
      </c>
      <c r="DD76" s="10"/>
      <c r="DE76" s="10">
        <v>11.9</v>
      </c>
      <c r="DF76" s="10"/>
      <c r="DG76" s="10"/>
      <c r="DH76" s="10"/>
      <c r="DI76" s="10"/>
      <c r="DJ76" s="10"/>
      <c r="DK76" s="10"/>
      <c r="DL76" s="10"/>
      <c r="DM76" s="10"/>
      <c r="DN76" s="10"/>
      <c r="DO76" s="10"/>
      <c r="DP76" s="10"/>
      <c r="DQ76" s="10"/>
      <c r="DR76" s="10"/>
      <c r="DS76" s="10"/>
      <c r="DT76" s="10"/>
      <c r="DU76" s="10"/>
      <c r="DV76" s="10"/>
      <c r="DW76" s="10"/>
      <c r="DX76" s="10"/>
    </row>
    <row r="77" spans="1:128" ht="90" x14ac:dyDescent="0.2">
      <c r="A77" s="86" t="s">
        <v>429</v>
      </c>
      <c r="B77" s="74">
        <v>3289</v>
      </c>
      <c r="C77" s="21"/>
      <c r="D77" s="42"/>
      <c r="E77" s="42"/>
      <c r="F77" s="21"/>
      <c r="G77" s="42"/>
      <c r="H77" s="42"/>
      <c r="I77" s="21"/>
      <c r="J77" s="42"/>
      <c r="K77" s="42"/>
      <c r="L77" s="7" t="s">
        <v>20</v>
      </c>
      <c r="M77" s="7" t="s">
        <v>24</v>
      </c>
      <c r="N77" s="114">
        <f t="shared" si="96"/>
        <v>0</v>
      </c>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f t="shared" si="97"/>
        <v>0</v>
      </c>
      <c r="AM77" s="114"/>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4"/>
      <c r="BJ77" s="114">
        <f t="shared" si="47"/>
        <v>0</v>
      </c>
      <c r="BK77" s="114"/>
      <c r="BL77" s="114"/>
      <c r="BM77" s="114"/>
      <c r="BN77" s="114"/>
      <c r="BO77" s="114"/>
      <c r="BP77" s="114"/>
      <c r="BQ77" s="114"/>
      <c r="BR77" s="114"/>
      <c r="BS77" s="114"/>
      <c r="BT77" s="114"/>
      <c r="BU77" s="114"/>
      <c r="BV77" s="114"/>
      <c r="BW77" s="114"/>
      <c r="BX77" s="114"/>
      <c r="BY77" s="114"/>
      <c r="BZ77" s="114"/>
      <c r="CA77" s="114"/>
      <c r="CB77" s="114"/>
      <c r="CC77" s="114"/>
      <c r="CD77" s="114"/>
      <c r="CE77" s="114"/>
      <c r="CF77" s="114"/>
      <c r="CG77" s="114">
        <f t="shared" si="48"/>
        <v>0</v>
      </c>
      <c r="CH77" s="114"/>
      <c r="CI77" s="114"/>
      <c r="CJ77" s="114"/>
      <c r="CK77" s="114"/>
      <c r="CL77" s="114"/>
      <c r="CM77" s="114"/>
      <c r="CN77" s="114"/>
      <c r="CO77" s="114"/>
      <c r="CP77" s="114"/>
      <c r="CQ77" s="114"/>
      <c r="CR77" s="114"/>
      <c r="CS77" s="114"/>
      <c r="CT77" s="114"/>
      <c r="CU77" s="114"/>
      <c r="CV77" s="114"/>
      <c r="CW77" s="114"/>
      <c r="CX77" s="114"/>
      <c r="CY77" s="114"/>
      <c r="CZ77" s="114"/>
      <c r="DA77" s="114"/>
      <c r="DB77" s="114"/>
      <c r="DC77" s="120">
        <f t="shared" si="98"/>
        <v>0</v>
      </c>
      <c r="DD77" s="10"/>
      <c r="DE77" s="10"/>
      <c r="DF77" s="10"/>
      <c r="DG77" s="10"/>
      <c r="DH77" s="10"/>
      <c r="DI77" s="10"/>
      <c r="DJ77" s="10"/>
      <c r="DK77" s="10"/>
      <c r="DL77" s="10"/>
      <c r="DM77" s="10"/>
      <c r="DN77" s="10"/>
      <c r="DO77" s="10"/>
      <c r="DP77" s="10"/>
      <c r="DQ77" s="10"/>
      <c r="DR77" s="10"/>
      <c r="DS77" s="10"/>
      <c r="DT77" s="10"/>
      <c r="DU77" s="10"/>
      <c r="DV77" s="10"/>
      <c r="DW77" s="10"/>
      <c r="DX77" s="10"/>
    </row>
    <row r="78" spans="1:128" ht="78.75" x14ac:dyDescent="0.2">
      <c r="A78" s="86" t="s">
        <v>430</v>
      </c>
      <c r="B78" s="74">
        <v>3296</v>
      </c>
      <c r="C78" s="21"/>
      <c r="D78" s="42"/>
      <c r="E78" s="42"/>
      <c r="F78" s="21"/>
      <c r="G78" s="42"/>
      <c r="H78" s="42"/>
      <c r="I78" s="21"/>
      <c r="J78" s="42"/>
      <c r="K78" s="42"/>
      <c r="L78" s="7"/>
      <c r="M78" s="7"/>
      <c r="N78" s="114">
        <f t="shared" si="96"/>
        <v>0</v>
      </c>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f t="shared" si="97"/>
        <v>0</v>
      </c>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f t="shared" si="47"/>
        <v>0</v>
      </c>
      <c r="BK78" s="114"/>
      <c r="BL78" s="114"/>
      <c r="BM78" s="114"/>
      <c r="BN78" s="114"/>
      <c r="BO78" s="114"/>
      <c r="BP78" s="114"/>
      <c r="BQ78" s="114"/>
      <c r="BR78" s="114"/>
      <c r="BS78" s="114"/>
      <c r="BT78" s="114"/>
      <c r="BU78" s="114"/>
      <c r="BV78" s="114"/>
      <c r="BW78" s="114"/>
      <c r="BX78" s="114"/>
      <c r="BY78" s="114"/>
      <c r="BZ78" s="114"/>
      <c r="CA78" s="114"/>
      <c r="CB78" s="114"/>
      <c r="CC78" s="114"/>
      <c r="CD78" s="114"/>
      <c r="CE78" s="114"/>
      <c r="CF78" s="114"/>
      <c r="CG78" s="114">
        <f t="shared" si="48"/>
        <v>0</v>
      </c>
      <c r="CH78" s="114"/>
      <c r="CI78" s="114"/>
      <c r="CJ78" s="114"/>
      <c r="CK78" s="114"/>
      <c r="CL78" s="114"/>
      <c r="CM78" s="114"/>
      <c r="CN78" s="114"/>
      <c r="CO78" s="114"/>
      <c r="CP78" s="114"/>
      <c r="CQ78" s="114"/>
      <c r="CR78" s="114"/>
      <c r="CS78" s="114"/>
      <c r="CT78" s="114"/>
      <c r="CU78" s="114"/>
      <c r="CV78" s="114"/>
      <c r="CW78" s="114"/>
      <c r="CX78" s="114"/>
      <c r="CY78" s="114"/>
      <c r="CZ78" s="114"/>
      <c r="DA78" s="114"/>
      <c r="DB78" s="114"/>
      <c r="DC78" s="120">
        <f t="shared" si="98"/>
        <v>0</v>
      </c>
      <c r="DD78" s="10"/>
      <c r="DE78" s="10"/>
      <c r="DF78" s="10"/>
      <c r="DG78" s="10"/>
      <c r="DH78" s="10"/>
      <c r="DI78" s="10"/>
      <c r="DJ78" s="10"/>
      <c r="DK78" s="10"/>
      <c r="DL78" s="10"/>
      <c r="DM78" s="10"/>
      <c r="DN78" s="10"/>
      <c r="DO78" s="10"/>
      <c r="DP78" s="10"/>
      <c r="DQ78" s="10"/>
      <c r="DR78" s="10"/>
      <c r="DS78" s="10"/>
      <c r="DT78" s="10"/>
      <c r="DU78" s="10"/>
      <c r="DV78" s="10"/>
      <c r="DW78" s="10"/>
      <c r="DX78" s="10"/>
    </row>
    <row r="79" spans="1:128" ht="45" x14ac:dyDescent="0.2">
      <c r="A79" s="65" t="s">
        <v>431</v>
      </c>
      <c r="B79" s="69">
        <v>3300</v>
      </c>
      <c r="C79" s="66" t="s">
        <v>10</v>
      </c>
      <c r="D79" s="67" t="s">
        <v>10</v>
      </c>
      <c r="E79" s="67" t="s">
        <v>10</v>
      </c>
      <c r="F79" s="66" t="s">
        <v>10</v>
      </c>
      <c r="G79" s="67" t="s">
        <v>10</v>
      </c>
      <c r="H79" s="67" t="s">
        <v>10</v>
      </c>
      <c r="I79" s="66" t="s">
        <v>10</v>
      </c>
      <c r="J79" s="67" t="s">
        <v>10</v>
      </c>
      <c r="K79" s="67" t="s">
        <v>10</v>
      </c>
      <c r="L79" s="64" t="s">
        <v>10</v>
      </c>
      <c r="M79" s="64" t="s">
        <v>10</v>
      </c>
      <c r="N79" s="114">
        <f t="shared" si="96"/>
        <v>0</v>
      </c>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f t="shared" si="97"/>
        <v>0</v>
      </c>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f t="shared" si="47"/>
        <v>0</v>
      </c>
      <c r="BK79" s="114"/>
      <c r="BL79" s="114"/>
      <c r="BM79" s="114"/>
      <c r="BN79" s="114"/>
      <c r="BO79" s="114"/>
      <c r="BP79" s="114"/>
      <c r="BQ79" s="114"/>
      <c r="BR79" s="114"/>
      <c r="BS79" s="114"/>
      <c r="BT79" s="114"/>
      <c r="BU79" s="114"/>
      <c r="BV79" s="114"/>
      <c r="BW79" s="114"/>
      <c r="BX79" s="114"/>
      <c r="BY79" s="114"/>
      <c r="BZ79" s="114"/>
      <c r="CA79" s="114"/>
      <c r="CB79" s="114"/>
      <c r="CC79" s="114"/>
      <c r="CD79" s="114"/>
      <c r="CE79" s="114"/>
      <c r="CF79" s="114"/>
      <c r="CG79" s="114">
        <f t="shared" si="48"/>
        <v>0</v>
      </c>
      <c r="CH79" s="114"/>
      <c r="CI79" s="114"/>
      <c r="CJ79" s="114"/>
      <c r="CK79" s="114"/>
      <c r="CL79" s="114"/>
      <c r="CM79" s="114"/>
      <c r="CN79" s="114"/>
      <c r="CO79" s="114"/>
      <c r="CP79" s="114"/>
      <c r="CQ79" s="114"/>
      <c r="CR79" s="114"/>
      <c r="CS79" s="114"/>
      <c r="CT79" s="114"/>
      <c r="CU79" s="114"/>
      <c r="CV79" s="114"/>
      <c r="CW79" s="114"/>
      <c r="CX79" s="114"/>
      <c r="CY79" s="114"/>
      <c r="CZ79" s="114"/>
      <c r="DA79" s="114"/>
      <c r="DB79" s="114"/>
      <c r="DC79" s="120">
        <f t="shared" si="98"/>
        <v>0</v>
      </c>
      <c r="DD79" s="70"/>
      <c r="DE79" s="70"/>
      <c r="DF79" s="70"/>
      <c r="DG79" s="70"/>
      <c r="DH79" s="70"/>
      <c r="DI79" s="70"/>
      <c r="DJ79" s="70"/>
      <c r="DK79" s="70"/>
      <c r="DL79" s="70"/>
      <c r="DM79" s="70"/>
      <c r="DN79" s="70"/>
      <c r="DO79" s="70"/>
      <c r="DP79" s="70"/>
      <c r="DQ79" s="70"/>
      <c r="DR79" s="70"/>
      <c r="DS79" s="70"/>
      <c r="DT79" s="70"/>
      <c r="DU79" s="70"/>
      <c r="DV79" s="70"/>
      <c r="DW79" s="70"/>
      <c r="DX79" s="70"/>
    </row>
    <row r="80" spans="1:128" ht="52.5" x14ac:dyDescent="0.2">
      <c r="A80" s="60" t="s">
        <v>432</v>
      </c>
      <c r="B80" s="122">
        <v>3400</v>
      </c>
      <c r="C80" s="66" t="s">
        <v>10</v>
      </c>
      <c r="D80" s="67" t="s">
        <v>10</v>
      </c>
      <c r="E80" s="67" t="s">
        <v>10</v>
      </c>
      <c r="F80" s="66" t="s">
        <v>10</v>
      </c>
      <c r="G80" s="67" t="s">
        <v>10</v>
      </c>
      <c r="H80" s="67" t="s">
        <v>10</v>
      </c>
      <c r="I80" s="66" t="s">
        <v>10</v>
      </c>
      <c r="J80" s="67" t="s">
        <v>10</v>
      </c>
      <c r="K80" s="67" t="s">
        <v>10</v>
      </c>
      <c r="L80" s="64" t="s">
        <v>10</v>
      </c>
      <c r="M80" s="64" t="s">
        <v>10</v>
      </c>
      <c r="N80" s="120">
        <f>N81+N82</f>
        <v>7907.1</v>
      </c>
      <c r="O80" s="120">
        <f>O81+O82</f>
        <v>0</v>
      </c>
      <c r="P80" s="120">
        <f>P81+P82</f>
        <v>0</v>
      </c>
      <c r="Q80" s="120">
        <f>Q81+Q82</f>
        <v>0</v>
      </c>
      <c r="R80" s="120">
        <f>R81+R82</f>
        <v>7907.1</v>
      </c>
      <c r="S80" s="120"/>
      <c r="T80" s="120">
        <f t="shared" ref="T80:AJ80" si="99">T81+T82</f>
        <v>0</v>
      </c>
      <c r="U80" s="120">
        <f t="shared" si="99"/>
        <v>0</v>
      </c>
      <c r="V80" s="120">
        <f t="shared" si="99"/>
        <v>0</v>
      </c>
      <c r="W80" s="120">
        <f t="shared" si="99"/>
        <v>0</v>
      </c>
      <c r="X80" s="120">
        <f t="shared" si="99"/>
        <v>0</v>
      </c>
      <c r="Y80" s="120">
        <f t="shared" si="99"/>
        <v>0</v>
      </c>
      <c r="Z80" s="120">
        <f t="shared" si="99"/>
        <v>0</v>
      </c>
      <c r="AA80" s="120">
        <f t="shared" si="99"/>
        <v>0</v>
      </c>
      <c r="AB80" s="120">
        <f t="shared" si="99"/>
        <v>0</v>
      </c>
      <c r="AC80" s="120">
        <f t="shared" si="99"/>
        <v>0</v>
      </c>
      <c r="AD80" s="120">
        <f t="shared" si="99"/>
        <v>0</v>
      </c>
      <c r="AE80" s="120">
        <f t="shared" si="99"/>
        <v>0</v>
      </c>
      <c r="AF80" s="120">
        <f t="shared" si="99"/>
        <v>0</v>
      </c>
      <c r="AG80" s="120">
        <f t="shared" si="99"/>
        <v>0</v>
      </c>
      <c r="AH80" s="120">
        <f t="shared" si="99"/>
        <v>0</v>
      </c>
      <c r="AI80" s="120">
        <f t="shared" si="99"/>
        <v>0</v>
      </c>
      <c r="AJ80" s="120">
        <f t="shared" si="99"/>
        <v>0</v>
      </c>
      <c r="AK80" s="120">
        <f t="shared" ref="AK80" si="100">AK81+AK82</f>
        <v>0</v>
      </c>
      <c r="AL80" s="120">
        <f>AL81+AL82</f>
        <v>7907.1</v>
      </c>
      <c r="AM80" s="120">
        <f>AM81+AM82</f>
        <v>0</v>
      </c>
      <c r="AN80" s="120">
        <f>AN81+AN82</f>
        <v>0</v>
      </c>
      <c r="AO80" s="120">
        <f>AO81+AO82</f>
        <v>0</v>
      </c>
      <c r="AP80" s="120">
        <f>AP81+AP82</f>
        <v>7907.1</v>
      </c>
      <c r="AQ80" s="120"/>
      <c r="AR80" s="120">
        <f t="shared" ref="AR80:BI80" si="101">AR81+AR82</f>
        <v>0</v>
      </c>
      <c r="AS80" s="120">
        <f t="shared" si="101"/>
        <v>0</v>
      </c>
      <c r="AT80" s="120">
        <f t="shared" si="101"/>
        <v>0</v>
      </c>
      <c r="AU80" s="120">
        <f t="shared" si="101"/>
        <v>0</v>
      </c>
      <c r="AV80" s="120">
        <f t="shared" si="101"/>
        <v>0</v>
      </c>
      <c r="AW80" s="120">
        <f t="shared" si="101"/>
        <v>0</v>
      </c>
      <c r="AX80" s="120">
        <f t="shared" si="101"/>
        <v>0</v>
      </c>
      <c r="AY80" s="120">
        <f t="shared" si="101"/>
        <v>0</v>
      </c>
      <c r="AZ80" s="120">
        <f t="shared" si="101"/>
        <v>0</v>
      </c>
      <c r="BA80" s="120">
        <f t="shared" si="101"/>
        <v>0</v>
      </c>
      <c r="BB80" s="120">
        <f t="shared" si="101"/>
        <v>0</v>
      </c>
      <c r="BC80" s="120">
        <f t="shared" si="101"/>
        <v>0</v>
      </c>
      <c r="BD80" s="120">
        <f t="shared" si="101"/>
        <v>0</v>
      </c>
      <c r="BE80" s="120">
        <f t="shared" si="101"/>
        <v>0</v>
      </c>
      <c r="BF80" s="120">
        <f t="shared" si="101"/>
        <v>0</v>
      </c>
      <c r="BG80" s="120">
        <f t="shared" si="101"/>
        <v>0</v>
      </c>
      <c r="BH80" s="120"/>
      <c r="BI80" s="120">
        <f t="shared" si="101"/>
        <v>0</v>
      </c>
      <c r="BJ80" s="120">
        <f t="shared" ref="BJ80:CR80" si="102">BJ81+BJ82</f>
        <v>0</v>
      </c>
      <c r="BK80" s="120">
        <f t="shared" si="102"/>
        <v>0</v>
      </c>
      <c r="BL80" s="120">
        <f t="shared" si="102"/>
        <v>0</v>
      </c>
      <c r="BM80" s="120">
        <f t="shared" si="102"/>
        <v>0</v>
      </c>
      <c r="BN80" s="120">
        <f t="shared" si="102"/>
        <v>0</v>
      </c>
      <c r="BO80" s="120"/>
      <c r="BP80" s="120">
        <f t="shared" si="102"/>
        <v>0</v>
      </c>
      <c r="BQ80" s="120">
        <f>BQ81+BQ82</f>
        <v>0</v>
      </c>
      <c r="BR80" s="120">
        <f t="shared" si="102"/>
        <v>0</v>
      </c>
      <c r="BS80" s="120">
        <f t="shared" si="102"/>
        <v>0</v>
      </c>
      <c r="BT80" s="120">
        <f t="shared" si="102"/>
        <v>0</v>
      </c>
      <c r="BU80" s="120">
        <f t="shared" si="102"/>
        <v>0</v>
      </c>
      <c r="BV80" s="120">
        <f t="shared" si="102"/>
        <v>0</v>
      </c>
      <c r="BW80" s="120">
        <f>BW81+BW82</f>
        <v>0</v>
      </c>
      <c r="BX80" s="120">
        <f t="shared" si="102"/>
        <v>0</v>
      </c>
      <c r="BY80" s="120">
        <f>BY81+BY82</f>
        <v>0</v>
      </c>
      <c r="BZ80" s="120">
        <f>BZ81+BZ82</f>
        <v>0</v>
      </c>
      <c r="CA80" s="120">
        <f>CA81+CA82</f>
        <v>0</v>
      </c>
      <c r="CB80" s="120">
        <f t="shared" si="102"/>
        <v>0</v>
      </c>
      <c r="CC80" s="120">
        <f t="shared" si="102"/>
        <v>0</v>
      </c>
      <c r="CD80" s="120">
        <f t="shared" si="102"/>
        <v>0</v>
      </c>
      <c r="CE80" s="120">
        <f t="shared" si="102"/>
        <v>0</v>
      </c>
      <c r="CF80" s="120">
        <f t="shared" ref="CF80" si="103">CF81+CF82</f>
        <v>0</v>
      </c>
      <c r="CG80" s="120">
        <f t="shared" si="102"/>
        <v>0</v>
      </c>
      <c r="CH80" s="120">
        <f t="shared" si="102"/>
        <v>0</v>
      </c>
      <c r="CI80" s="120">
        <f t="shared" si="102"/>
        <v>0</v>
      </c>
      <c r="CJ80" s="120">
        <f t="shared" si="102"/>
        <v>0</v>
      </c>
      <c r="CK80" s="120">
        <f t="shared" si="102"/>
        <v>0</v>
      </c>
      <c r="CL80" s="120">
        <f>CL81+CL82</f>
        <v>0</v>
      </c>
      <c r="CM80" s="120">
        <f t="shared" si="102"/>
        <v>0</v>
      </c>
      <c r="CN80" s="120">
        <f t="shared" si="102"/>
        <v>0</v>
      </c>
      <c r="CO80" s="120">
        <f>CO81+CO82</f>
        <v>0</v>
      </c>
      <c r="CP80" s="120">
        <f t="shared" si="102"/>
        <v>0</v>
      </c>
      <c r="CQ80" s="120">
        <f t="shared" si="102"/>
        <v>0</v>
      </c>
      <c r="CR80" s="120">
        <f t="shared" si="102"/>
        <v>0</v>
      </c>
      <c r="CS80" s="120">
        <f t="shared" ref="CS80:CX80" si="104">CS81+CS82</f>
        <v>0</v>
      </c>
      <c r="CT80" s="120">
        <f t="shared" si="104"/>
        <v>0</v>
      </c>
      <c r="CU80" s="120">
        <f t="shared" si="104"/>
        <v>0</v>
      </c>
      <c r="CV80" s="120">
        <f t="shared" si="104"/>
        <v>0</v>
      </c>
      <c r="CW80" s="120">
        <f t="shared" si="104"/>
        <v>0</v>
      </c>
      <c r="CX80" s="120">
        <f t="shared" si="104"/>
        <v>0</v>
      </c>
      <c r="CY80" s="120">
        <f t="shared" ref="CY80:DG80" si="105">CY81+CY82</f>
        <v>0</v>
      </c>
      <c r="CZ80" s="120">
        <f t="shared" si="105"/>
        <v>0</v>
      </c>
      <c r="DA80" s="120">
        <f t="shared" si="105"/>
        <v>0</v>
      </c>
      <c r="DB80" s="120">
        <f t="shared" si="105"/>
        <v>0</v>
      </c>
      <c r="DC80" s="120">
        <f t="shared" si="98"/>
        <v>0</v>
      </c>
      <c r="DD80" s="62">
        <f t="shared" si="105"/>
        <v>0</v>
      </c>
      <c r="DE80" s="62">
        <f t="shared" si="105"/>
        <v>0</v>
      </c>
      <c r="DF80" s="62">
        <f t="shared" si="105"/>
        <v>0</v>
      </c>
      <c r="DG80" s="62">
        <f t="shared" si="105"/>
        <v>0</v>
      </c>
      <c r="DH80" s="62">
        <f>DH81+DH82</f>
        <v>0</v>
      </c>
      <c r="DI80" s="62">
        <f t="shared" ref="DI80:DS80" si="106">DI81+DI82</f>
        <v>0</v>
      </c>
      <c r="DJ80" s="62">
        <f t="shared" si="106"/>
        <v>0</v>
      </c>
      <c r="DK80" s="62">
        <f t="shared" si="106"/>
        <v>0</v>
      </c>
      <c r="DL80" s="62">
        <f t="shared" si="106"/>
        <v>0</v>
      </c>
      <c r="DM80" s="62">
        <f t="shared" si="106"/>
        <v>0</v>
      </c>
      <c r="DN80" s="62">
        <f t="shared" si="106"/>
        <v>0</v>
      </c>
      <c r="DO80" s="62">
        <f t="shared" si="106"/>
        <v>0</v>
      </c>
      <c r="DP80" s="62">
        <f t="shared" si="106"/>
        <v>0</v>
      </c>
      <c r="DQ80" s="62">
        <f t="shared" si="106"/>
        <v>0</v>
      </c>
      <c r="DR80" s="62">
        <f t="shared" si="106"/>
        <v>0</v>
      </c>
      <c r="DS80" s="62">
        <f t="shared" si="106"/>
        <v>0</v>
      </c>
      <c r="DT80" s="62"/>
      <c r="DU80" s="62">
        <f t="shared" ref="DU80:DX80" si="107">DU81+DU82</f>
        <v>0</v>
      </c>
      <c r="DV80" s="62">
        <f t="shared" si="107"/>
        <v>0</v>
      </c>
      <c r="DW80" s="62">
        <f t="shared" si="107"/>
        <v>0</v>
      </c>
      <c r="DX80" s="62">
        <f t="shared" si="107"/>
        <v>0</v>
      </c>
    </row>
    <row r="81" spans="1:128" s="94" customFormat="1" ht="191.25" x14ac:dyDescent="0.2">
      <c r="A81" s="86" t="s">
        <v>433</v>
      </c>
      <c r="B81" s="74">
        <v>3402</v>
      </c>
      <c r="C81" s="75"/>
      <c r="D81" s="76"/>
      <c r="E81" s="76"/>
      <c r="F81" s="75"/>
      <c r="G81" s="76"/>
      <c r="H81" s="76"/>
      <c r="I81" s="75"/>
      <c r="J81" s="76"/>
      <c r="K81" s="76"/>
      <c r="L81" s="77" t="s">
        <v>27</v>
      </c>
      <c r="M81" s="77" t="s">
        <v>20</v>
      </c>
      <c r="N81" s="168">
        <f>SUM(O81:AJ81)</f>
        <v>5411.2</v>
      </c>
      <c r="O81" s="114"/>
      <c r="P81" s="114"/>
      <c r="Q81" s="114"/>
      <c r="R81" s="114">
        <f>79+5332.2</f>
        <v>5411.2</v>
      </c>
      <c r="S81" s="114"/>
      <c r="T81" s="114"/>
      <c r="U81" s="114"/>
      <c r="V81" s="114"/>
      <c r="W81" s="114"/>
      <c r="X81" s="114"/>
      <c r="Y81" s="114"/>
      <c r="Z81" s="114"/>
      <c r="AA81" s="114"/>
      <c r="AB81" s="114"/>
      <c r="AC81" s="114"/>
      <c r="AD81" s="114"/>
      <c r="AE81" s="114"/>
      <c r="AF81" s="114"/>
      <c r="AG81" s="114"/>
      <c r="AH81" s="114">
        <v>0</v>
      </c>
      <c r="AI81" s="114"/>
      <c r="AJ81" s="114"/>
      <c r="AK81" s="114"/>
      <c r="AL81" s="168">
        <f>SUM(AM81:BI81)</f>
        <v>5411.2</v>
      </c>
      <c r="AM81" s="114"/>
      <c r="AN81" s="114"/>
      <c r="AO81" s="114"/>
      <c r="AP81" s="114">
        <f>79+5332.2</f>
        <v>5411.2</v>
      </c>
      <c r="AQ81" s="114"/>
      <c r="AR81" s="114"/>
      <c r="AS81" s="114"/>
      <c r="AT81" s="114"/>
      <c r="AU81" s="114"/>
      <c r="AV81" s="114"/>
      <c r="AW81" s="114"/>
      <c r="AX81" s="114"/>
      <c r="AY81" s="114"/>
      <c r="AZ81" s="114"/>
      <c r="BA81" s="114"/>
      <c r="BB81" s="114"/>
      <c r="BC81" s="114"/>
      <c r="BD81" s="114"/>
      <c r="BE81" s="114"/>
      <c r="BF81" s="114">
        <v>0</v>
      </c>
      <c r="BG81" s="114"/>
      <c r="BH81" s="114"/>
      <c r="BI81" s="114"/>
      <c r="BJ81" s="168">
        <f>SUM(BK81:CE81)</f>
        <v>0</v>
      </c>
      <c r="BK81" s="114"/>
      <c r="BL81" s="114"/>
      <c r="BM81" s="114"/>
      <c r="BN81" s="114">
        <v>0</v>
      </c>
      <c r="BO81" s="114"/>
      <c r="BP81" s="114"/>
      <c r="BQ81" s="114"/>
      <c r="BR81" s="114"/>
      <c r="BS81" s="114"/>
      <c r="BT81" s="114"/>
      <c r="BU81" s="114"/>
      <c r="BV81" s="114"/>
      <c r="BW81" s="114"/>
      <c r="BX81" s="114"/>
      <c r="BY81" s="114"/>
      <c r="BZ81" s="114"/>
      <c r="CA81" s="114"/>
      <c r="CB81" s="114"/>
      <c r="CC81" s="114">
        <v>0</v>
      </c>
      <c r="CD81" s="114"/>
      <c r="CE81" s="114"/>
      <c r="CF81" s="114"/>
      <c r="CG81" s="168">
        <f>SUM(CH81:DB81)</f>
        <v>0</v>
      </c>
      <c r="CH81" s="114"/>
      <c r="CI81" s="114"/>
      <c r="CJ81" s="114"/>
      <c r="CK81" s="114">
        <v>0</v>
      </c>
      <c r="CL81" s="114"/>
      <c r="CM81" s="114"/>
      <c r="CN81" s="114"/>
      <c r="CO81" s="114"/>
      <c r="CP81" s="114"/>
      <c r="CQ81" s="114"/>
      <c r="CR81" s="114"/>
      <c r="CS81" s="114"/>
      <c r="CT81" s="114"/>
      <c r="CU81" s="114"/>
      <c r="CV81" s="114"/>
      <c r="CW81" s="114"/>
      <c r="CX81" s="114"/>
      <c r="CY81" s="114"/>
      <c r="CZ81" s="114"/>
      <c r="DA81" s="114"/>
      <c r="DB81" s="114"/>
      <c r="DC81" s="120">
        <f t="shared" si="98"/>
        <v>0</v>
      </c>
      <c r="DD81" s="88"/>
      <c r="DE81" s="88"/>
      <c r="DF81" s="88"/>
      <c r="DG81" s="114"/>
      <c r="DH81" s="88"/>
      <c r="DI81" s="88"/>
      <c r="DJ81" s="88"/>
      <c r="DK81" s="88"/>
      <c r="DL81" s="88"/>
      <c r="DM81" s="88"/>
      <c r="DN81" s="88"/>
      <c r="DO81" s="88"/>
      <c r="DP81" s="88"/>
      <c r="DQ81" s="88"/>
      <c r="DR81" s="88"/>
      <c r="DS81" s="88"/>
      <c r="DT81" s="88"/>
      <c r="DU81" s="88"/>
      <c r="DV81" s="88"/>
      <c r="DW81" s="88"/>
      <c r="DX81" s="88"/>
    </row>
    <row r="82" spans="1:128" s="94" customFormat="1" ht="191.25" x14ac:dyDescent="0.2">
      <c r="A82" s="86" t="s">
        <v>434</v>
      </c>
      <c r="B82" s="74">
        <v>3403</v>
      </c>
      <c r="C82" s="75"/>
      <c r="D82" s="76"/>
      <c r="E82" s="76"/>
      <c r="F82" s="75"/>
      <c r="G82" s="76"/>
      <c r="H82" s="76"/>
      <c r="I82" s="75"/>
      <c r="J82" s="76"/>
      <c r="K82" s="76"/>
      <c r="L82" s="77"/>
      <c r="M82" s="77"/>
      <c r="N82" s="168">
        <f>SUM(O82:AJ82)</f>
        <v>2495.9</v>
      </c>
      <c r="O82" s="114"/>
      <c r="P82" s="114"/>
      <c r="Q82" s="114"/>
      <c r="R82" s="114">
        <v>2495.9</v>
      </c>
      <c r="S82" s="114"/>
      <c r="T82" s="114"/>
      <c r="U82" s="114"/>
      <c r="V82" s="114"/>
      <c r="W82" s="114"/>
      <c r="X82" s="114"/>
      <c r="Y82" s="114"/>
      <c r="Z82" s="114"/>
      <c r="AA82" s="114"/>
      <c r="AB82" s="114"/>
      <c r="AC82" s="114"/>
      <c r="AD82" s="114"/>
      <c r="AE82" s="114"/>
      <c r="AF82" s="114"/>
      <c r="AG82" s="114"/>
      <c r="AH82" s="114"/>
      <c r="AI82" s="114"/>
      <c r="AJ82" s="114"/>
      <c r="AK82" s="114"/>
      <c r="AL82" s="168">
        <f>SUM(AM82:BI82)</f>
        <v>2495.9</v>
      </c>
      <c r="AM82" s="114"/>
      <c r="AN82" s="114"/>
      <c r="AO82" s="114"/>
      <c r="AP82" s="114">
        <v>2495.9</v>
      </c>
      <c r="AQ82" s="114"/>
      <c r="AR82" s="114"/>
      <c r="AS82" s="114"/>
      <c r="AT82" s="114"/>
      <c r="AU82" s="114"/>
      <c r="AV82" s="114"/>
      <c r="AW82" s="114"/>
      <c r="AX82" s="114"/>
      <c r="AY82" s="114"/>
      <c r="AZ82" s="114"/>
      <c r="BA82" s="114"/>
      <c r="BB82" s="114"/>
      <c r="BC82" s="114"/>
      <c r="BD82" s="114"/>
      <c r="BE82" s="114"/>
      <c r="BF82" s="114"/>
      <c r="BG82" s="114"/>
      <c r="BH82" s="114"/>
      <c r="BI82" s="114"/>
      <c r="BJ82" s="168">
        <f>SUM(BK82:CE82)</f>
        <v>0</v>
      </c>
      <c r="BK82" s="114"/>
      <c r="BL82" s="114"/>
      <c r="BM82" s="114"/>
      <c r="BN82" s="114"/>
      <c r="BO82" s="114"/>
      <c r="BP82" s="114"/>
      <c r="BQ82" s="114"/>
      <c r="BR82" s="114"/>
      <c r="BS82" s="114"/>
      <c r="BT82" s="114"/>
      <c r="BU82" s="114"/>
      <c r="BV82" s="114"/>
      <c r="BW82" s="114"/>
      <c r="BX82" s="114"/>
      <c r="BY82" s="114"/>
      <c r="BZ82" s="114"/>
      <c r="CA82" s="114"/>
      <c r="CB82" s="114"/>
      <c r="CC82" s="114"/>
      <c r="CD82" s="114"/>
      <c r="CE82" s="114"/>
      <c r="CF82" s="114"/>
      <c r="CG82" s="168">
        <f>SUM(CH82:DB82)</f>
        <v>0</v>
      </c>
      <c r="CH82" s="114"/>
      <c r="CI82" s="114"/>
      <c r="CJ82" s="114"/>
      <c r="CK82" s="114"/>
      <c r="CL82" s="114"/>
      <c r="CM82" s="114"/>
      <c r="CN82" s="114"/>
      <c r="CO82" s="114"/>
      <c r="CP82" s="114"/>
      <c r="CQ82" s="114"/>
      <c r="CR82" s="114"/>
      <c r="CS82" s="114"/>
      <c r="CT82" s="114"/>
      <c r="CU82" s="114"/>
      <c r="CV82" s="114"/>
      <c r="CW82" s="114"/>
      <c r="CX82" s="114"/>
      <c r="CY82" s="114"/>
      <c r="CZ82" s="114"/>
      <c r="DA82" s="114"/>
      <c r="DB82" s="114"/>
      <c r="DC82" s="120">
        <f t="shared" si="98"/>
        <v>0</v>
      </c>
      <c r="DD82" s="88"/>
      <c r="DE82" s="88"/>
      <c r="DF82" s="88"/>
      <c r="DG82" s="114">
        <v>0</v>
      </c>
      <c r="DH82" s="88"/>
      <c r="DI82" s="88"/>
      <c r="DJ82" s="88"/>
      <c r="DK82" s="88"/>
      <c r="DL82" s="88"/>
      <c r="DM82" s="88"/>
      <c r="DN82" s="88"/>
      <c r="DO82" s="88"/>
      <c r="DP82" s="88"/>
      <c r="DQ82" s="88"/>
      <c r="DR82" s="88"/>
      <c r="DS82" s="88"/>
      <c r="DT82" s="88"/>
      <c r="DU82" s="88"/>
      <c r="DV82" s="88"/>
      <c r="DW82" s="88"/>
      <c r="DX82" s="88"/>
    </row>
    <row r="83" spans="1:128" ht="63" x14ac:dyDescent="0.2">
      <c r="A83" s="60" t="s">
        <v>435</v>
      </c>
      <c r="B83" s="122">
        <v>3500</v>
      </c>
      <c r="C83" s="66" t="s">
        <v>10</v>
      </c>
      <c r="D83" s="67" t="s">
        <v>10</v>
      </c>
      <c r="E83" s="67" t="s">
        <v>10</v>
      </c>
      <c r="F83" s="66" t="s">
        <v>10</v>
      </c>
      <c r="G83" s="67" t="s">
        <v>10</v>
      </c>
      <c r="H83" s="67" t="s">
        <v>10</v>
      </c>
      <c r="I83" s="66" t="s">
        <v>10</v>
      </c>
      <c r="J83" s="67" t="s">
        <v>10</v>
      </c>
      <c r="K83" s="67" t="s">
        <v>10</v>
      </c>
      <c r="L83" s="64" t="s">
        <v>10</v>
      </c>
      <c r="M83" s="64" t="s">
        <v>10</v>
      </c>
      <c r="N83" s="168">
        <f>N84+N85</f>
        <v>0</v>
      </c>
      <c r="O83" s="168">
        <f>O84+O85</f>
        <v>0</v>
      </c>
      <c r="P83" s="168">
        <f>P84+P85</f>
        <v>0</v>
      </c>
      <c r="Q83" s="168">
        <f>Q84+Q85</f>
        <v>0</v>
      </c>
      <c r="R83" s="168">
        <f>R84+R85</f>
        <v>0</v>
      </c>
      <c r="S83" s="168"/>
      <c r="T83" s="168">
        <f t="shared" ref="T83:AD83" si="108">T84+T85</f>
        <v>0</v>
      </c>
      <c r="U83" s="168">
        <f t="shared" si="108"/>
        <v>0</v>
      </c>
      <c r="V83" s="168">
        <f t="shared" si="108"/>
        <v>0</v>
      </c>
      <c r="W83" s="168">
        <f t="shared" si="108"/>
        <v>0</v>
      </c>
      <c r="X83" s="168">
        <f t="shared" si="108"/>
        <v>0</v>
      </c>
      <c r="Y83" s="168">
        <f t="shared" si="108"/>
        <v>0</v>
      </c>
      <c r="Z83" s="168">
        <f t="shared" si="108"/>
        <v>0</v>
      </c>
      <c r="AA83" s="168">
        <f t="shared" si="108"/>
        <v>0</v>
      </c>
      <c r="AB83" s="168">
        <f t="shared" si="108"/>
        <v>0</v>
      </c>
      <c r="AC83" s="168">
        <f t="shared" si="108"/>
        <v>0</v>
      </c>
      <c r="AD83" s="168">
        <f t="shared" si="108"/>
        <v>0</v>
      </c>
      <c r="AE83" s="168"/>
      <c r="AF83" s="168"/>
      <c r="AG83" s="168">
        <f t="shared" ref="AG83:AP83" si="109">AG84+AG85</f>
        <v>0</v>
      </c>
      <c r="AH83" s="168">
        <f t="shared" si="109"/>
        <v>0</v>
      </c>
      <c r="AI83" s="168">
        <f t="shared" si="109"/>
        <v>0</v>
      </c>
      <c r="AJ83" s="168">
        <f t="shared" si="109"/>
        <v>0</v>
      </c>
      <c r="AK83" s="168">
        <f t="shared" ref="AK83" si="110">AK84+AK85</f>
        <v>0</v>
      </c>
      <c r="AL83" s="168">
        <f t="shared" si="109"/>
        <v>0</v>
      </c>
      <c r="AM83" s="168">
        <f t="shared" si="109"/>
        <v>0</v>
      </c>
      <c r="AN83" s="168">
        <f t="shared" si="109"/>
        <v>0</v>
      </c>
      <c r="AO83" s="168">
        <f t="shared" si="109"/>
        <v>0</v>
      </c>
      <c r="AP83" s="168">
        <f t="shared" si="109"/>
        <v>0</v>
      </c>
      <c r="AQ83" s="168"/>
      <c r="AR83" s="168">
        <f t="shared" ref="AR83:BB83" si="111">AR84+AR85</f>
        <v>0</v>
      </c>
      <c r="AS83" s="168">
        <f t="shared" si="111"/>
        <v>0</v>
      </c>
      <c r="AT83" s="168">
        <f t="shared" si="111"/>
        <v>0</v>
      </c>
      <c r="AU83" s="168">
        <f t="shared" si="111"/>
        <v>0</v>
      </c>
      <c r="AV83" s="168">
        <f t="shared" si="111"/>
        <v>0</v>
      </c>
      <c r="AW83" s="168">
        <f t="shared" si="111"/>
        <v>0</v>
      </c>
      <c r="AX83" s="168">
        <f t="shared" si="111"/>
        <v>0</v>
      </c>
      <c r="AY83" s="168">
        <f t="shared" si="111"/>
        <v>0</v>
      </c>
      <c r="AZ83" s="168">
        <f t="shared" si="111"/>
        <v>0</v>
      </c>
      <c r="BA83" s="168">
        <f t="shared" si="111"/>
        <v>0</v>
      </c>
      <c r="BB83" s="168">
        <f t="shared" si="111"/>
        <v>0</v>
      </c>
      <c r="BC83" s="168"/>
      <c r="BD83" s="168"/>
      <c r="BE83" s="168">
        <f>BE84+BE85</f>
        <v>0</v>
      </c>
      <c r="BF83" s="168">
        <f>BF84+BF85</f>
        <v>0</v>
      </c>
      <c r="BG83" s="168">
        <f>BG84+BG85</f>
        <v>0</v>
      </c>
      <c r="BH83" s="168"/>
      <c r="BI83" s="168">
        <f>BI84+BI85</f>
        <v>0</v>
      </c>
      <c r="BJ83" s="168">
        <f t="shared" ref="BJ83:CR83" si="112">BJ84+BJ85</f>
        <v>0</v>
      </c>
      <c r="BK83" s="168">
        <f t="shared" si="112"/>
        <v>0</v>
      </c>
      <c r="BL83" s="168">
        <f t="shared" si="112"/>
        <v>0</v>
      </c>
      <c r="BM83" s="168">
        <f t="shared" si="112"/>
        <v>0</v>
      </c>
      <c r="BN83" s="168">
        <f t="shared" si="112"/>
        <v>0</v>
      </c>
      <c r="BO83" s="168"/>
      <c r="BP83" s="168">
        <f t="shared" si="112"/>
        <v>0</v>
      </c>
      <c r="BQ83" s="168">
        <f>BQ84+BQ85</f>
        <v>0</v>
      </c>
      <c r="BR83" s="168">
        <f t="shared" si="112"/>
        <v>0</v>
      </c>
      <c r="BS83" s="168">
        <f t="shared" si="112"/>
        <v>0</v>
      </c>
      <c r="BT83" s="168">
        <f t="shared" si="112"/>
        <v>0</v>
      </c>
      <c r="BU83" s="168">
        <f t="shared" si="112"/>
        <v>0</v>
      </c>
      <c r="BV83" s="168">
        <f t="shared" si="112"/>
        <v>0</v>
      </c>
      <c r="BW83" s="168">
        <f>BW84+BW85</f>
        <v>0</v>
      </c>
      <c r="BX83" s="168">
        <f t="shared" si="112"/>
        <v>0</v>
      </c>
      <c r="BY83" s="168">
        <f>BY84+BY85</f>
        <v>0</v>
      </c>
      <c r="BZ83" s="168">
        <f>BZ84+BZ85</f>
        <v>0</v>
      </c>
      <c r="CA83" s="168">
        <f>CA84+CA85</f>
        <v>0</v>
      </c>
      <c r="CB83" s="168">
        <f t="shared" si="112"/>
        <v>0</v>
      </c>
      <c r="CC83" s="168">
        <f t="shared" si="112"/>
        <v>0</v>
      </c>
      <c r="CD83" s="168">
        <f t="shared" si="112"/>
        <v>0</v>
      </c>
      <c r="CE83" s="168">
        <f t="shared" si="112"/>
        <v>0</v>
      </c>
      <c r="CF83" s="168">
        <f t="shared" ref="CF83" si="113">CF84+CF85</f>
        <v>0</v>
      </c>
      <c r="CG83" s="168">
        <f t="shared" si="112"/>
        <v>0</v>
      </c>
      <c r="CH83" s="168">
        <f t="shared" si="112"/>
        <v>0</v>
      </c>
      <c r="CI83" s="168">
        <f t="shared" si="112"/>
        <v>0</v>
      </c>
      <c r="CJ83" s="168">
        <f t="shared" si="112"/>
        <v>0</v>
      </c>
      <c r="CK83" s="168">
        <f t="shared" si="112"/>
        <v>0</v>
      </c>
      <c r="CL83" s="168">
        <f>CL84+CL85</f>
        <v>0</v>
      </c>
      <c r="CM83" s="168">
        <f t="shared" si="112"/>
        <v>0</v>
      </c>
      <c r="CN83" s="168">
        <f t="shared" si="112"/>
        <v>0</v>
      </c>
      <c r="CO83" s="168">
        <f>CO84+CO85</f>
        <v>0</v>
      </c>
      <c r="CP83" s="168">
        <f t="shared" si="112"/>
        <v>0</v>
      </c>
      <c r="CQ83" s="168">
        <f t="shared" si="112"/>
        <v>0</v>
      </c>
      <c r="CR83" s="168">
        <f t="shared" si="112"/>
        <v>0</v>
      </c>
      <c r="CS83" s="168">
        <f t="shared" ref="CS83:CX83" si="114">CS84+CS85</f>
        <v>0</v>
      </c>
      <c r="CT83" s="168">
        <f t="shared" si="114"/>
        <v>0</v>
      </c>
      <c r="CU83" s="168">
        <f t="shared" si="114"/>
        <v>0</v>
      </c>
      <c r="CV83" s="168">
        <f t="shared" si="114"/>
        <v>0</v>
      </c>
      <c r="CW83" s="168">
        <f t="shared" si="114"/>
        <v>0</v>
      </c>
      <c r="CX83" s="168">
        <f t="shared" si="114"/>
        <v>0</v>
      </c>
      <c r="CY83" s="168">
        <f t="shared" ref="CY83:DG83" si="115">CY84+CY85</f>
        <v>0</v>
      </c>
      <c r="CZ83" s="168">
        <f t="shared" si="115"/>
        <v>0</v>
      </c>
      <c r="DA83" s="168">
        <f t="shared" si="115"/>
        <v>0</v>
      </c>
      <c r="DB83" s="168">
        <f t="shared" si="115"/>
        <v>0</v>
      </c>
      <c r="DC83" s="120">
        <f t="shared" si="98"/>
        <v>0</v>
      </c>
      <c r="DD83" s="83">
        <f t="shared" si="115"/>
        <v>0</v>
      </c>
      <c r="DE83" s="83">
        <f t="shared" si="115"/>
        <v>0</v>
      </c>
      <c r="DF83" s="83">
        <f t="shared" si="115"/>
        <v>0</v>
      </c>
      <c r="DG83" s="83">
        <f t="shared" si="115"/>
        <v>0</v>
      </c>
      <c r="DH83" s="83">
        <f>DH84+DH85</f>
        <v>0</v>
      </c>
      <c r="DI83" s="83">
        <f t="shared" ref="DI83:DS83" si="116">DI84+DI85</f>
        <v>0</v>
      </c>
      <c r="DJ83" s="83">
        <f t="shared" si="116"/>
        <v>0</v>
      </c>
      <c r="DK83" s="83">
        <f t="shared" si="116"/>
        <v>0</v>
      </c>
      <c r="DL83" s="83">
        <f t="shared" si="116"/>
        <v>0</v>
      </c>
      <c r="DM83" s="83">
        <f t="shared" si="116"/>
        <v>0</v>
      </c>
      <c r="DN83" s="83">
        <f t="shared" si="116"/>
        <v>0</v>
      </c>
      <c r="DO83" s="83">
        <f t="shared" si="116"/>
        <v>0</v>
      </c>
      <c r="DP83" s="83">
        <f t="shared" si="116"/>
        <v>0</v>
      </c>
      <c r="DQ83" s="83">
        <f t="shared" si="116"/>
        <v>0</v>
      </c>
      <c r="DR83" s="83">
        <f t="shared" si="116"/>
        <v>0</v>
      </c>
      <c r="DS83" s="83">
        <f t="shared" si="116"/>
        <v>0</v>
      </c>
      <c r="DT83" s="83"/>
      <c r="DU83" s="83">
        <f t="shared" ref="DU83:DX83" si="117">DU84+DU85</f>
        <v>0</v>
      </c>
      <c r="DV83" s="83">
        <f t="shared" si="117"/>
        <v>0</v>
      </c>
      <c r="DW83" s="83">
        <f t="shared" si="117"/>
        <v>0</v>
      </c>
      <c r="DX83" s="83">
        <f t="shared" si="117"/>
        <v>0</v>
      </c>
    </row>
    <row r="84" spans="1:128" ht="22.5" x14ac:dyDescent="0.2">
      <c r="A84" s="63" t="s">
        <v>436</v>
      </c>
      <c r="B84" s="69">
        <v>3501</v>
      </c>
      <c r="C84" s="66" t="s">
        <v>10</v>
      </c>
      <c r="D84" s="67" t="s">
        <v>10</v>
      </c>
      <c r="E84" s="67" t="s">
        <v>10</v>
      </c>
      <c r="F84" s="66" t="s">
        <v>10</v>
      </c>
      <c r="G84" s="67" t="s">
        <v>10</v>
      </c>
      <c r="H84" s="67" t="s">
        <v>10</v>
      </c>
      <c r="I84" s="66" t="s">
        <v>10</v>
      </c>
      <c r="J84" s="67" t="s">
        <v>10</v>
      </c>
      <c r="K84" s="67" t="s">
        <v>10</v>
      </c>
      <c r="L84" s="64" t="s">
        <v>10</v>
      </c>
      <c r="M84" s="64" t="s">
        <v>10</v>
      </c>
      <c r="N84" s="168">
        <f>SUM(O84:AJ84)</f>
        <v>0</v>
      </c>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68">
        <f>SUM(AM84:BI84)</f>
        <v>0</v>
      </c>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68">
        <f>SUM(BK84:CE84)</f>
        <v>0</v>
      </c>
      <c r="BK84" s="114"/>
      <c r="BL84" s="114"/>
      <c r="BM84" s="114"/>
      <c r="BN84" s="114"/>
      <c r="BO84" s="114"/>
      <c r="BP84" s="114"/>
      <c r="BQ84" s="114"/>
      <c r="BR84" s="114"/>
      <c r="BS84" s="114"/>
      <c r="BT84" s="114"/>
      <c r="BU84" s="114"/>
      <c r="BV84" s="114"/>
      <c r="BW84" s="114"/>
      <c r="BX84" s="114"/>
      <c r="BY84" s="114"/>
      <c r="BZ84" s="114"/>
      <c r="CA84" s="114"/>
      <c r="CB84" s="114"/>
      <c r="CC84" s="114"/>
      <c r="CD84" s="114"/>
      <c r="CE84" s="114"/>
      <c r="CF84" s="114"/>
      <c r="CG84" s="168">
        <f>SUM(CH84:DB84)</f>
        <v>0</v>
      </c>
      <c r="CH84" s="114"/>
      <c r="CI84" s="114"/>
      <c r="CJ84" s="114"/>
      <c r="CK84" s="114"/>
      <c r="CL84" s="114"/>
      <c r="CM84" s="114"/>
      <c r="CN84" s="114"/>
      <c r="CO84" s="114"/>
      <c r="CP84" s="114"/>
      <c r="CQ84" s="114"/>
      <c r="CR84" s="114"/>
      <c r="CS84" s="114"/>
      <c r="CT84" s="114"/>
      <c r="CU84" s="114"/>
      <c r="CV84" s="114"/>
      <c r="CW84" s="114"/>
      <c r="CX84" s="114"/>
      <c r="CY84" s="114"/>
      <c r="CZ84" s="114"/>
      <c r="DA84" s="114"/>
      <c r="DB84" s="114"/>
      <c r="DC84" s="120">
        <f t="shared" si="98"/>
        <v>0</v>
      </c>
      <c r="DD84" s="70"/>
      <c r="DE84" s="70"/>
      <c r="DF84" s="70"/>
      <c r="DG84" s="70"/>
      <c r="DH84" s="70"/>
      <c r="DI84" s="70"/>
      <c r="DJ84" s="70"/>
      <c r="DK84" s="70"/>
      <c r="DL84" s="70"/>
      <c r="DM84" s="70"/>
      <c r="DN84" s="70"/>
      <c r="DO84" s="70"/>
      <c r="DP84" s="70"/>
      <c r="DQ84" s="70"/>
      <c r="DR84" s="70"/>
      <c r="DS84" s="70"/>
      <c r="DT84" s="70"/>
      <c r="DU84" s="70"/>
      <c r="DV84" s="70"/>
      <c r="DW84" s="70"/>
      <c r="DX84" s="70"/>
    </row>
    <row r="85" spans="1:128" ht="22.5" x14ac:dyDescent="0.2">
      <c r="A85" s="63" t="s">
        <v>437</v>
      </c>
      <c r="B85" s="69">
        <v>3502</v>
      </c>
      <c r="C85" s="66" t="s">
        <v>10</v>
      </c>
      <c r="D85" s="67" t="s">
        <v>10</v>
      </c>
      <c r="E85" s="67" t="s">
        <v>10</v>
      </c>
      <c r="F85" s="66" t="s">
        <v>10</v>
      </c>
      <c r="G85" s="67" t="s">
        <v>10</v>
      </c>
      <c r="H85" s="67" t="s">
        <v>10</v>
      </c>
      <c r="I85" s="66" t="s">
        <v>10</v>
      </c>
      <c r="J85" s="67" t="s">
        <v>10</v>
      </c>
      <c r="K85" s="67" t="s">
        <v>10</v>
      </c>
      <c r="L85" s="64" t="s">
        <v>10</v>
      </c>
      <c r="M85" s="64" t="s">
        <v>10</v>
      </c>
      <c r="N85" s="168">
        <f>SUM(O85:AJ85)</f>
        <v>0</v>
      </c>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68">
        <f>SUM(AM85:BI85)</f>
        <v>0</v>
      </c>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68">
        <f>SUM(BK85:CE85)</f>
        <v>0</v>
      </c>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68">
        <f>SUM(CH85:DB85)</f>
        <v>0</v>
      </c>
      <c r="CH85" s="120"/>
      <c r="CI85" s="120"/>
      <c r="CJ85" s="120"/>
      <c r="CK85" s="120"/>
      <c r="CL85" s="120"/>
      <c r="CM85" s="120"/>
      <c r="CN85" s="120"/>
      <c r="CO85" s="120"/>
      <c r="CP85" s="120"/>
      <c r="CQ85" s="120"/>
      <c r="CR85" s="120"/>
      <c r="CS85" s="120"/>
      <c r="CT85" s="120"/>
      <c r="CU85" s="120"/>
      <c r="CV85" s="120"/>
      <c r="CW85" s="120"/>
      <c r="CX85" s="120"/>
      <c r="CY85" s="120"/>
      <c r="CZ85" s="120"/>
      <c r="DA85" s="120"/>
      <c r="DB85" s="120"/>
      <c r="DC85" s="120">
        <f t="shared" si="98"/>
        <v>0</v>
      </c>
      <c r="DD85" s="62"/>
      <c r="DE85" s="62"/>
      <c r="DF85" s="62"/>
      <c r="DG85" s="62"/>
      <c r="DH85" s="62"/>
      <c r="DI85" s="62"/>
      <c r="DJ85" s="62"/>
      <c r="DK85" s="62"/>
      <c r="DL85" s="62"/>
      <c r="DM85" s="62"/>
      <c r="DN85" s="62"/>
      <c r="DO85" s="62"/>
      <c r="DP85" s="62"/>
      <c r="DQ85" s="62"/>
      <c r="DR85" s="62"/>
      <c r="DS85" s="62"/>
      <c r="DT85" s="62"/>
      <c r="DU85" s="62"/>
      <c r="DV85" s="62"/>
      <c r="DW85" s="62"/>
      <c r="DX85" s="62"/>
    </row>
    <row r="86" spans="1:128" x14ac:dyDescent="0.2">
      <c r="A86" s="9" t="s">
        <v>0</v>
      </c>
      <c r="B86" s="14">
        <v>8000</v>
      </c>
      <c r="C86" s="19" t="s">
        <v>10</v>
      </c>
      <c r="D86" s="20" t="s">
        <v>10</v>
      </c>
      <c r="E86" s="20" t="s">
        <v>10</v>
      </c>
      <c r="F86" s="19" t="s">
        <v>10</v>
      </c>
      <c r="G86" s="20" t="s">
        <v>10</v>
      </c>
      <c r="H86" s="20" t="s">
        <v>10</v>
      </c>
      <c r="I86" s="19" t="s">
        <v>10</v>
      </c>
      <c r="J86" s="20" t="s">
        <v>10</v>
      </c>
      <c r="K86" s="20" t="s">
        <v>10</v>
      </c>
      <c r="L86" s="13" t="s">
        <v>10</v>
      </c>
      <c r="M86" s="13" t="s">
        <v>10</v>
      </c>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12"/>
      <c r="DE86" s="12"/>
      <c r="DF86" s="12"/>
      <c r="DG86" s="12"/>
      <c r="DH86" s="12"/>
      <c r="DI86" s="12"/>
      <c r="DJ86" s="12"/>
      <c r="DK86" s="12"/>
      <c r="DL86" s="12"/>
      <c r="DM86" s="12"/>
      <c r="DN86" s="12"/>
      <c r="DO86" s="12"/>
      <c r="DP86" s="12"/>
      <c r="DQ86" s="12"/>
      <c r="DR86" s="12"/>
      <c r="DS86" s="12"/>
      <c r="DT86" s="12"/>
      <c r="DU86" s="12"/>
      <c r="DV86" s="12"/>
      <c r="DW86" s="12"/>
      <c r="DX86" s="12"/>
    </row>
    <row r="88" spans="1:128" x14ac:dyDescent="0.2">
      <c r="A88" s="216" t="s">
        <v>241</v>
      </c>
      <c r="B88" s="216"/>
      <c r="C88" s="216"/>
      <c r="D88" s="216"/>
      <c r="E88" s="216"/>
    </row>
    <row r="90" spans="1:128" x14ac:dyDescent="0.2">
      <c r="A90" t="s">
        <v>234</v>
      </c>
    </row>
  </sheetData>
  <mergeCells count="29">
    <mergeCell ref="V4:W4"/>
    <mergeCell ref="X4:Y4"/>
    <mergeCell ref="Z4:AA4"/>
    <mergeCell ref="AB4:AC4"/>
    <mergeCell ref="AD4:AE4"/>
    <mergeCell ref="C5:E5"/>
    <mergeCell ref="C4:I4"/>
    <mergeCell ref="A88:E88"/>
    <mergeCell ref="A1:H1"/>
    <mergeCell ref="A2:H2"/>
    <mergeCell ref="A3:H3"/>
    <mergeCell ref="A4:A6"/>
    <mergeCell ref="B4:B6"/>
    <mergeCell ref="BJ1:CE1"/>
    <mergeCell ref="BJ2:CE2"/>
    <mergeCell ref="F5:H5"/>
    <mergeCell ref="I5:K5"/>
    <mergeCell ref="L3:DC3"/>
    <mergeCell ref="BJ5:BJ6"/>
    <mergeCell ref="BJ4:DC4"/>
    <mergeCell ref="CG5:DC5"/>
    <mergeCell ref="L4:M5"/>
    <mergeCell ref="N4:O4"/>
    <mergeCell ref="P4:Q4"/>
    <mergeCell ref="R4:S4"/>
    <mergeCell ref="T4:U4"/>
    <mergeCell ref="AH4:AI4"/>
    <mergeCell ref="AJ4:AL4"/>
    <mergeCell ref="N5:AL5"/>
  </mergeCells>
  <pageMargins left="0.31496062992125984" right="0.31496062992125984" top="0.19685039370078741" bottom="0.19685039370078741" header="0.19685039370078741"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7"/>
  <sheetViews>
    <sheetView view="pageBreakPreview" zoomScale="80" zoomScaleNormal="90" zoomScaleSheetLayoutView="80" workbookViewId="0">
      <pane xSplit="13" ySplit="7" topLeftCell="N8" activePane="bottomRight" state="frozen"/>
      <selection pane="topRight" activeCell="N1" sqref="N1"/>
      <selection pane="bottomLeft" activeCell="A8" sqref="A8"/>
      <selection pane="bottomRight" activeCell="AA1" sqref="AA1:AK1048576"/>
    </sheetView>
  </sheetViews>
  <sheetFormatPr defaultColWidth="9.140625" defaultRowHeight="12.75" x14ac:dyDescent="0.2"/>
  <cols>
    <col min="1" max="1" width="45.140625" customWidth="1"/>
    <col min="2" max="2" width="6.42578125" customWidth="1"/>
    <col min="3" max="3" width="25.5703125" hidden="1" customWidth="1"/>
    <col min="4" max="4" width="0" hidden="1" customWidth="1"/>
    <col min="5" max="5" width="11" hidden="1" customWidth="1"/>
    <col min="6" max="6" width="28.85546875" hidden="1" customWidth="1"/>
    <col min="7" max="7" width="0" hidden="1" customWidth="1"/>
    <col min="8" max="8" width="9.28515625" hidden="1" customWidth="1"/>
    <col min="9" max="9" width="29.42578125" hidden="1" customWidth="1"/>
    <col min="10" max="10" width="0" hidden="1" customWidth="1"/>
    <col min="11" max="11" width="10.85546875" hidden="1" customWidth="1"/>
    <col min="12" max="12" width="7.140625" customWidth="1"/>
    <col min="13" max="13" width="6.42578125" customWidth="1"/>
    <col min="14" max="14" width="9.85546875" style="147" customWidth="1"/>
    <col min="15" max="25" width="9.85546875" style="147" hidden="1" customWidth="1"/>
    <col min="26" max="26" width="12.7109375" style="147" customWidth="1"/>
    <col min="27" max="37" width="12.7109375" style="147" hidden="1" customWidth="1"/>
    <col min="38" max="38" width="12.7109375" style="147" customWidth="1"/>
    <col min="39" max="48" width="10.42578125" style="147" hidden="1" customWidth="1"/>
    <col min="49" max="49" width="10.42578125" style="147" customWidth="1"/>
    <col min="50" max="59" width="9.85546875" style="147" hidden="1" customWidth="1"/>
    <col min="60" max="60" width="10" style="147" customWidth="1"/>
    <col min="61" max="70" width="10" hidden="1" customWidth="1"/>
    <col min="71" max="71" width="10" customWidth="1"/>
  </cols>
  <sheetData>
    <row r="1" spans="1:70" x14ac:dyDescent="0.2">
      <c r="A1" s="193" t="s">
        <v>232</v>
      </c>
      <c r="B1" s="193"/>
      <c r="C1" s="193"/>
      <c r="D1" s="193"/>
      <c r="E1" s="193"/>
      <c r="F1" s="193"/>
      <c r="G1" s="193"/>
      <c r="H1" s="193"/>
      <c r="I1" s="48"/>
      <c r="J1" s="48"/>
      <c r="K1" s="48"/>
      <c r="L1" s="48"/>
      <c r="M1" s="48"/>
      <c r="N1" s="171"/>
      <c r="O1" s="171"/>
      <c r="P1" s="171"/>
      <c r="Q1" s="171"/>
      <c r="R1" s="171"/>
      <c r="S1" s="171"/>
      <c r="T1" s="171"/>
      <c r="U1" s="171"/>
      <c r="V1" s="171"/>
      <c r="W1" s="171"/>
      <c r="X1" s="172"/>
      <c r="Y1" s="172"/>
      <c r="Z1" s="171"/>
      <c r="AA1" s="171"/>
      <c r="AB1" s="171"/>
      <c r="AC1" s="171"/>
      <c r="AD1" s="171"/>
      <c r="AE1" s="171"/>
      <c r="AF1" s="171"/>
      <c r="AG1" s="171"/>
      <c r="AH1" s="171"/>
      <c r="AI1" s="171"/>
      <c r="AJ1" s="172"/>
      <c r="AK1" s="172"/>
      <c r="AL1" s="219"/>
      <c r="AM1" s="219"/>
      <c r="AN1" s="219"/>
      <c r="AO1" s="219"/>
      <c r="AP1" s="219"/>
      <c r="AQ1" s="219"/>
      <c r="AR1" s="219"/>
      <c r="AS1" s="219"/>
      <c r="AT1" s="219"/>
      <c r="AU1" s="172"/>
      <c r="AV1" s="172"/>
      <c r="AW1" s="172"/>
      <c r="AX1" s="172"/>
      <c r="AY1" s="172"/>
      <c r="AZ1" s="172"/>
      <c r="BA1" s="172"/>
      <c r="BB1" s="172"/>
      <c r="BC1" s="172"/>
      <c r="BD1" s="172"/>
      <c r="BE1" s="172"/>
      <c r="BF1" s="172"/>
      <c r="BG1" s="172"/>
      <c r="BH1" s="172"/>
      <c r="BI1" s="15"/>
      <c r="BJ1" s="15"/>
      <c r="BK1" s="15"/>
      <c r="BL1" s="15"/>
      <c r="BM1" s="15"/>
      <c r="BN1" s="15"/>
      <c r="BO1" s="15"/>
      <c r="BP1" s="15"/>
      <c r="BQ1" s="15"/>
      <c r="BR1" s="15"/>
    </row>
    <row r="2" spans="1:70" x14ac:dyDescent="0.2">
      <c r="A2" s="217" t="s">
        <v>251</v>
      </c>
      <c r="B2" s="217"/>
      <c r="C2" s="217"/>
      <c r="D2" s="217"/>
      <c r="E2" s="217"/>
      <c r="F2" s="217"/>
      <c r="G2" s="217"/>
      <c r="H2" s="217"/>
      <c r="I2" s="48"/>
      <c r="J2" s="48"/>
      <c r="K2" s="48"/>
      <c r="L2" s="48"/>
      <c r="M2" s="48"/>
      <c r="N2" s="171"/>
      <c r="O2" s="171"/>
      <c r="P2" s="171"/>
      <c r="Q2" s="171"/>
      <c r="R2" s="171"/>
      <c r="S2" s="171"/>
      <c r="T2" s="171"/>
      <c r="U2" s="171"/>
      <c r="V2" s="171"/>
      <c r="W2" s="171"/>
      <c r="X2" s="172"/>
      <c r="Y2" s="172"/>
      <c r="Z2" s="171"/>
      <c r="AA2" s="171"/>
      <c r="AB2" s="171"/>
      <c r="AC2" s="171"/>
      <c r="AD2" s="171"/>
      <c r="AE2" s="171"/>
      <c r="AF2" s="171"/>
      <c r="AG2" s="171"/>
      <c r="AH2" s="171"/>
      <c r="AI2" s="171"/>
      <c r="AJ2" s="172"/>
      <c r="AK2" s="172"/>
      <c r="AL2" s="219"/>
      <c r="AM2" s="219"/>
      <c r="AN2" s="219"/>
      <c r="AO2" s="219"/>
      <c r="AP2" s="219"/>
      <c r="AQ2" s="219"/>
      <c r="AR2" s="219"/>
      <c r="AS2" s="219"/>
      <c r="AT2" s="219"/>
      <c r="AU2" s="172"/>
      <c r="AV2" s="172"/>
      <c r="AW2" s="172"/>
      <c r="AX2" s="172"/>
      <c r="AY2" s="172"/>
      <c r="AZ2" s="172"/>
      <c r="BA2" s="172"/>
      <c r="BB2" s="172"/>
      <c r="BC2" s="172"/>
      <c r="BD2" s="172"/>
      <c r="BE2" s="172"/>
      <c r="BF2" s="172"/>
      <c r="BG2" s="172"/>
      <c r="BH2" s="172"/>
      <c r="BI2" s="15"/>
      <c r="BJ2" s="15"/>
      <c r="BK2" s="15"/>
      <c r="BL2" s="15"/>
      <c r="BM2" s="15"/>
      <c r="BN2" s="15"/>
      <c r="BO2" s="15"/>
      <c r="BP2" s="15"/>
      <c r="BQ2" s="15"/>
      <c r="BR2" s="15"/>
    </row>
    <row r="3" spans="1:70" x14ac:dyDescent="0.2">
      <c r="A3" s="218" t="s">
        <v>233</v>
      </c>
      <c r="B3" s="218"/>
      <c r="C3" s="218"/>
      <c r="D3" s="218"/>
      <c r="E3" s="218"/>
      <c r="F3" s="218"/>
      <c r="G3" s="218"/>
      <c r="H3" s="218"/>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row>
    <row r="4" spans="1:70" ht="22.5" customHeight="1" x14ac:dyDescent="0.2">
      <c r="A4" s="194" t="s">
        <v>13</v>
      </c>
      <c r="B4" s="195" t="s">
        <v>9</v>
      </c>
      <c r="C4" s="197" t="s">
        <v>12</v>
      </c>
      <c r="D4" s="198"/>
      <c r="E4" s="198"/>
      <c r="F4" s="198"/>
      <c r="G4" s="198"/>
      <c r="H4" s="198"/>
      <c r="I4" s="199"/>
      <c r="J4" s="2"/>
      <c r="K4" s="2"/>
      <c r="L4" s="194" t="s">
        <v>2</v>
      </c>
      <c r="M4" s="194"/>
      <c r="N4" s="221" t="s">
        <v>787</v>
      </c>
      <c r="O4" s="221"/>
      <c r="P4" s="221"/>
      <c r="Q4" s="221"/>
      <c r="R4" s="221"/>
      <c r="S4" s="221"/>
      <c r="T4" s="221"/>
      <c r="U4" s="221"/>
      <c r="V4" s="221"/>
      <c r="W4" s="221"/>
      <c r="X4" s="221"/>
      <c r="Y4" s="221"/>
      <c r="Z4" s="221"/>
      <c r="AA4" s="173"/>
      <c r="AB4" s="173"/>
      <c r="AC4" s="146"/>
      <c r="AD4" s="146"/>
      <c r="AE4" s="146"/>
      <c r="AF4" s="146"/>
      <c r="AG4" s="146"/>
      <c r="AH4" s="146"/>
      <c r="AI4" s="146"/>
      <c r="AJ4" s="146"/>
      <c r="AK4" s="146"/>
      <c r="AL4" s="221" t="s">
        <v>788</v>
      </c>
      <c r="AM4" s="173"/>
      <c r="AN4" s="146"/>
      <c r="AO4" s="146"/>
      <c r="AP4" s="146"/>
      <c r="AQ4" s="146"/>
      <c r="AR4" s="146"/>
      <c r="AS4" s="146"/>
      <c r="AT4" s="146"/>
      <c r="AU4" s="146"/>
      <c r="AV4" s="146"/>
      <c r="AW4" s="222" t="s">
        <v>311</v>
      </c>
      <c r="AX4" s="222"/>
      <c r="AY4" s="222"/>
      <c r="AZ4" s="222"/>
      <c r="BA4" s="222"/>
      <c r="BB4" s="222"/>
      <c r="BC4" s="222"/>
      <c r="BD4" s="222"/>
      <c r="BE4" s="222"/>
      <c r="BF4" s="222"/>
      <c r="BG4" s="222"/>
      <c r="BH4" s="222"/>
      <c r="BI4" s="18"/>
      <c r="BJ4" s="18"/>
      <c r="BK4" s="18"/>
      <c r="BL4" s="18"/>
      <c r="BM4" s="18"/>
      <c r="BN4" s="18"/>
      <c r="BO4" s="18"/>
      <c r="BP4" s="18"/>
      <c r="BQ4" s="18"/>
      <c r="BR4" s="18"/>
    </row>
    <row r="5" spans="1:70" ht="24.75" customHeight="1" x14ac:dyDescent="0.2">
      <c r="A5" s="194"/>
      <c r="B5" s="195"/>
      <c r="C5" s="196" t="s">
        <v>8</v>
      </c>
      <c r="D5" s="196"/>
      <c r="E5" s="196"/>
      <c r="F5" s="196" t="s">
        <v>5</v>
      </c>
      <c r="G5" s="196"/>
      <c r="H5" s="196"/>
      <c r="I5" s="196" t="s">
        <v>179</v>
      </c>
      <c r="J5" s="196"/>
      <c r="K5" s="196"/>
      <c r="L5" s="194"/>
      <c r="M5" s="194"/>
      <c r="N5" s="221" t="s">
        <v>309</v>
      </c>
      <c r="O5" s="173"/>
      <c r="P5" s="173"/>
      <c r="Q5" s="174"/>
      <c r="R5" s="174"/>
      <c r="S5" s="174"/>
      <c r="T5" s="174"/>
      <c r="U5" s="174"/>
      <c r="V5" s="174"/>
      <c r="W5" s="174"/>
      <c r="X5" s="174"/>
      <c r="Y5" s="174"/>
      <c r="Z5" s="221" t="s">
        <v>310</v>
      </c>
      <c r="AA5" s="173"/>
      <c r="AB5" s="173"/>
      <c r="AC5" s="174"/>
      <c r="AD5" s="174"/>
      <c r="AE5" s="174"/>
      <c r="AF5" s="174"/>
      <c r="AG5" s="174"/>
      <c r="AH5" s="174"/>
      <c r="AI5" s="174"/>
      <c r="AJ5" s="174"/>
      <c r="AK5" s="174"/>
      <c r="AL5" s="221"/>
      <c r="AM5" s="173"/>
      <c r="AN5" s="174"/>
      <c r="AO5" s="174"/>
      <c r="AP5" s="174"/>
      <c r="AQ5" s="174"/>
      <c r="AR5" s="174"/>
      <c r="AS5" s="174"/>
      <c r="AT5" s="174"/>
      <c r="AU5" s="174"/>
      <c r="AV5" s="174"/>
      <c r="AW5" s="222"/>
      <c r="AX5" s="222"/>
      <c r="AY5" s="222"/>
      <c r="AZ5" s="222"/>
      <c r="BA5" s="222"/>
      <c r="BB5" s="222"/>
      <c r="BC5" s="222"/>
      <c r="BD5" s="222"/>
      <c r="BE5" s="222"/>
      <c r="BF5" s="222"/>
      <c r="BG5" s="222"/>
      <c r="BH5" s="222"/>
      <c r="BI5" s="137"/>
      <c r="BJ5" s="137"/>
      <c r="BK5" s="137"/>
      <c r="BL5" s="6"/>
      <c r="BM5" s="6"/>
      <c r="BN5" s="6"/>
      <c r="BO5" s="6"/>
      <c r="BP5" s="6"/>
      <c r="BQ5" s="6"/>
      <c r="BR5" s="6"/>
    </row>
    <row r="6" spans="1:70" ht="63.75" customHeight="1" x14ac:dyDescent="0.2">
      <c r="A6" s="194"/>
      <c r="B6" s="195"/>
      <c r="C6" s="4" t="s">
        <v>14</v>
      </c>
      <c r="D6" s="4" t="s">
        <v>6</v>
      </c>
      <c r="E6" s="4" t="s">
        <v>7</v>
      </c>
      <c r="F6" s="4" t="s">
        <v>14</v>
      </c>
      <c r="G6" s="4" t="s">
        <v>6</v>
      </c>
      <c r="H6" s="4" t="s">
        <v>7</v>
      </c>
      <c r="I6" s="4" t="s">
        <v>14</v>
      </c>
      <c r="J6" s="4" t="s">
        <v>6</v>
      </c>
      <c r="K6" s="4" t="s">
        <v>7</v>
      </c>
      <c r="L6" s="5" t="s">
        <v>3</v>
      </c>
      <c r="M6" s="5" t="s">
        <v>4</v>
      </c>
      <c r="N6" s="221"/>
      <c r="O6" s="175" t="s">
        <v>28</v>
      </c>
      <c r="P6" s="175" t="s">
        <v>34</v>
      </c>
      <c r="Q6" s="175" t="s">
        <v>43</v>
      </c>
      <c r="R6" s="175" t="s">
        <v>44</v>
      </c>
      <c r="S6" s="175" t="s">
        <v>45</v>
      </c>
      <c r="T6" s="175" t="s">
        <v>231</v>
      </c>
      <c r="U6" s="175" t="s">
        <v>46</v>
      </c>
      <c r="V6" s="175" t="s">
        <v>47</v>
      </c>
      <c r="W6" s="175" t="s">
        <v>51</v>
      </c>
      <c r="X6" s="175" t="s">
        <v>52</v>
      </c>
      <c r="Y6" s="175" t="s">
        <v>53</v>
      </c>
      <c r="Z6" s="221"/>
      <c r="AA6" s="175" t="s">
        <v>28</v>
      </c>
      <c r="AB6" s="175" t="s">
        <v>34</v>
      </c>
      <c r="AC6" s="175" t="s">
        <v>43</v>
      </c>
      <c r="AD6" s="175" t="s">
        <v>44</v>
      </c>
      <c r="AE6" s="175" t="s">
        <v>45</v>
      </c>
      <c r="AF6" s="175" t="s">
        <v>231</v>
      </c>
      <c r="AG6" s="175" t="s">
        <v>46</v>
      </c>
      <c r="AH6" s="175" t="s">
        <v>47</v>
      </c>
      <c r="AI6" s="175" t="s">
        <v>51</v>
      </c>
      <c r="AJ6" s="175" t="s">
        <v>52</v>
      </c>
      <c r="AK6" s="175" t="s">
        <v>53</v>
      </c>
      <c r="AL6" s="221"/>
      <c r="AM6" s="175" t="s">
        <v>28</v>
      </c>
      <c r="AN6" s="175" t="s">
        <v>43</v>
      </c>
      <c r="AO6" s="175" t="s">
        <v>44</v>
      </c>
      <c r="AP6" s="175" t="s">
        <v>45</v>
      </c>
      <c r="AQ6" s="175" t="s">
        <v>231</v>
      </c>
      <c r="AR6" s="175" t="s">
        <v>46</v>
      </c>
      <c r="AS6" s="175" t="s">
        <v>47</v>
      </c>
      <c r="AT6" s="175" t="s">
        <v>51</v>
      </c>
      <c r="AU6" s="175" t="s">
        <v>52</v>
      </c>
      <c r="AV6" s="175" t="s">
        <v>53</v>
      </c>
      <c r="AW6" s="173" t="s">
        <v>791</v>
      </c>
      <c r="AX6" s="175" t="s">
        <v>28</v>
      </c>
      <c r="AY6" s="175" t="s">
        <v>43</v>
      </c>
      <c r="AZ6" s="175" t="s">
        <v>44</v>
      </c>
      <c r="BA6" s="175" t="s">
        <v>45</v>
      </c>
      <c r="BB6" s="175" t="s">
        <v>231</v>
      </c>
      <c r="BC6" s="175" t="s">
        <v>46</v>
      </c>
      <c r="BD6" s="175" t="s">
        <v>47</v>
      </c>
      <c r="BE6" s="175" t="s">
        <v>51</v>
      </c>
      <c r="BF6" s="175" t="s">
        <v>52</v>
      </c>
      <c r="BG6" s="175" t="s">
        <v>53</v>
      </c>
      <c r="BH6" s="173" t="s">
        <v>790</v>
      </c>
      <c r="BI6" s="138" t="s">
        <v>28</v>
      </c>
      <c r="BJ6" s="138" t="s">
        <v>43</v>
      </c>
      <c r="BK6" s="138" t="s">
        <v>44</v>
      </c>
      <c r="BL6" s="16" t="s">
        <v>45</v>
      </c>
      <c r="BM6" s="16" t="s">
        <v>231</v>
      </c>
      <c r="BN6" s="16" t="s">
        <v>46</v>
      </c>
      <c r="BO6" s="16" t="s">
        <v>47</v>
      </c>
      <c r="BP6" s="16" t="s">
        <v>51</v>
      </c>
      <c r="BQ6" s="16" t="s">
        <v>52</v>
      </c>
      <c r="BR6" s="16" t="s">
        <v>53</v>
      </c>
    </row>
    <row r="7" spans="1:70" s="1" customFormat="1" x14ac:dyDescent="0.2">
      <c r="A7" s="3">
        <v>1</v>
      </c>
      <c r="B7" s="3">
        <v>2</v>
      </c>
      <c r="C7" s="3">
        <v>3</v>
      </c>
      <c r="D7" s="3">
        <v>4</v>
      </c>
      <c r="E7" s="3">
        <v>5</v>
      </c>
      <c r="F7" s="3">
        <v>6</v>
      </c>
      <c r="G7" s="3">
        <v>7</v>
      </c>
      <c r="H7" s="3">
        <v>8</v>
      </c>
      <c r="I7" s="3">
        <v>9</v>
      </c>
      <c r="J7" s="3">
        <v>10</v>
      </c>
      <c r="K7" s="3">
        <v>11</v>
      </c>
      <c r="L7" s="3">
        <v>12</v>
      </c>
      <c r="M7" s="3">
        <v>13</v>
      </c>
      <c r="N7" s="176">
        <v>17</v>
      </c>
      <c r="O7" s="176"/>
      <c r="P7" s="176"/>
      <c r="Q7" s="176"/>
      <c r="R7" s="176"/>
      <c r="S7" s="176"/>
      <c r="T7" s="176"/>
      <c r="U7" s="176"/>
      <c r="V7" s="176"/>
      <c r="W7" s="176"/>
      <c r="X7" s="176"/>
      <c r="Y7" s="176"/>
      <c r="Z7" s="176">
        <v>17</v>
      </c>
      <c r="AA7" s="176"/>
      <c r="AB7" s="176"/>
      <c r="AC7" s="176"/>
      <c r="AD7" s="176"/>
      <c r="AE7" s="176"/>
      <c r="AF7" s="176"/>
      <c r="AG7" s="176"/>
      <c r="AH7" s="176"/>
      <c r="AI7" s="176"/>
      <c r="AJ7" s="176"/>
      <c r="AK7" s="176"/>
      <c r="AL7" s="176">
        <v>17</v>
      </c>
      <c r="AM7" s="176"/>
      <c r="AN7" s="176"/>
      <c r="AO7" s="176"/>
      <c r="AP7" s="176"/>
      <c r="AQ7" s="176"/>
      <c r="AR7" s="176"/>
      <c r="AS7" s="176"/>
      <c r="AT7" s="176"/>
      <c r="AU7" s="176"/>
      <c r="AV7" s="176"/>
      <c r="AW7" s="176">
        <v>18</v>
      </c>
      <c r="AX7" s="176"/>
      <c r="AY7" s="176"/>
      <c r="AZ7" s="176"/>
      <c r="BA7" s="176"/>
      <c r="BB7" s="176"/>
      <c r="BC7" s="176"/>
      <c r="BD7" s="176"/>
      <c r="BE7" s="176"/>
      <c r="BF7" s="176"/>
      <c r="BG7" s="176"/>
      <c r="BH7" s="176">
        <v>19</v>
      </c>
      <c r="BI7" s="3"/>
      <c r="BJ7" s="3"/>
      <c r="BK7" s="3"/>
      <c r="BL7" s="3"/>
      <c r="BM7" s="3"/>
      <c r="BN7" s="3"/>
      <c r="BO7" s="3"/>
      <c r="BP7" s="3"/>
      <c r="BQ7" s="3"/>
      <c r="BR7" s="3"/>
    </row>
    <row r="8" spans="1:70" ht="42" customHeight="1" x14ac:dyDescent="0.2">
      <c r="A8" s="60" t="s">
        <v>316</v>
      </c>
      <c r="B8" s="61" t="s">
        <v>315</v>
      </c>
      <c r="C8" s="60" t="s">
        <v>10</v>
      </c>
      <c r="D8" s="61" t="s">
        <v>10</v>
      </c>
      <c r="E8" s="61" t="s">
        <v>10</v>
      </c>
      <c r="F8" s="60" t="s">
        <v>10</v>
      </c>
      <c r="G8" s="61" t="s">
        <v>10</v>
      </c>
      <c r="H8" s="61" t="s">
        <v>10</v>
      </c>
      <c r="I8" s="60" t="s">
        <v>10</v>
      </c>
      <c r="J8" s="61" t="s">
        <v>10</v>
      </c>
      <c r="K8" s="61" t="s">
        <v>10</v>
      </c>
      <c r="L8" s="61" t="s">
        <v>10</v>
      </c>
      <c r="M8" s="61" t="s">
        <v>10</v>
      </c>
      <c r="N8" s="93">
        <f>N9+N19+N23+N28+N37+N40</f>
        <v>433724.39999999991</v>
      </c>
      <c r="O8" s="93">
        <f t="shared" ref="O8:Y8" si="0">O9+O19+O23+O28+O37</f>
        <v>10</v>
      </c>
      <c r="P8" s="93">
        <f t="shared" si="0"/>
        <v>0</v>
      </c>
      <c r="Q8" s="93">
        <f t="shared" si="0"/>
        <v>15.2</v>
      </c>
      <c r="R8" s="93">
        <f t="shared" si="0"/>
        <v>106618.9</v>
      </c>
      <c r="S8" s="93">
        <f t="shared" si="0"/>
        <v>249326.9</v>
      </c>
      <c r="T8" s="93">
        <f t="shared" si="0"/>
        <v>28924.800000000003</v>
      </c>
      <c r="U8" s="93">
        <f t="shared" si="0"/>
        <v>5692.7</v>
      </c>
      <c r="V8" s="93">
        <f t="shared" si="0"/>
        <v>6522.9000000000005</v>
      </c>
      <c r="W8" s="93">
        <f t="shared" si="0"/>
        <v>24257.8</v>
      </c>
      <c r="X8" s="93">
        <f t="shared" si="0"/>
        <v>3125.6</v>
      </c>
      <c r="Y8" s="93">
        <f t="shared" si="0"/>
        <v>9229.6</v>
      </c>
      <c r="Z8" s="93">
        <f>Z9+Z19+Z23+Z28+Z37+Z40</f>
        <v>425666.5</v>
      </c>
      <c r="AA8" s="93">
        <f t="shared" ref="AA8:AK8" si="1">AA9+AA19+AA23+AA28+AA37</f>
        <v>10</v>
      </c>
      <c r="AB8" s="93">
        <f t="shared" si="1"/>
        <v>0</v>
      </c>
      <c r="AC8" s="93">
        <f t="shared" si="1"/>
        <v>15.2</v>
      </c>
      <c r="AD8" s="93">
        <f t="shared" si="1"/>
        <v>106149.4</v>
      </c>
      <c r="AE8" s="93">
        <f t="shared" si="1"/>
        <v>245504.2</v>
      </c>
      <c r="AF8" s="93">
        <f t="shared" si="1"/>
        <v>28924.800000000003</v>
      </c>
      <c r="AG8" s="93">
        <f t="shared" si="1"/>
        <v>5680.8</v>
      </c>
      <c r="AH8" s="93">
        <f t="shared" si="1"/>
        <v>6358</v>
      </c>
      <c r="AI8" s="93">
        <f t="shared" si="1"/>
        <v>21023.899999999998</v>
      </c>
      <c r="AJ8" s="93">
        <f t="shared" si="1"/>
        <v>2801.5</v>
      </c>
      <c r="AK8" s="93">
        <f t="shared" si="1"/>
        <v>9198.7000000000007</v>
      </c>
      <c r="AL8" s="93">
        <f>SUM(AM8:AV8)</f>
        <v>429703.3</v>
      </c>
      <c r="AM8" s="93">
        <f t="shared" ref="AM8:AV8" si="2">AM9+AM19+AM23+AM28+AM37</f>
        <v>9</v>
      </c>
      <c r="AN8" s="93">
        <f t="shared" si="2"/>
        <v>0</v>
      </c>
      <c r="AO8" s="93">
        <f t="shared" si="2"/>
        <v>101075.79999999999</v>
      </c>
      <c r="AP8" s="93">
        <f t="shared" si="2"/>
        <v>248072.8</v>
      </c>
      <c r="AQ8" s="93">
        <f t="shared" si="2"/>
        <v>30952.5</v>
      </c>
      <c r="AR8" s="93">
        <f t="shared" si="2"/>
        <v>6018.2999999999993</v>
      </c>
      <c r="AS8" s="93">
        <f t="shared" si="2"/>
        <v>6987.5</v>
      </c>
      <c r="AT8" s="93">
        <f t="shared" si="2"/>
        <v>26098.6</v>
      </c>
      <c r="AU8" s="93">
        <f t="shared" si="2"/>
        <v>5119.8999999999996</v>
      </c>
      <c r="AV8" s="93">
        <f t="shared" si="2"/>
        <v>5368.9</v>
      </c>
      <c r="AW8" s="93">
        <f>SUM(AX8:BG8)</f>
        <v>421828.30000000005</v>
      </c>
      <c r="AX8" s="93">
        <f t="shared" ref="AX8:BG8" si="3">AX9+AX19+AX23+AX28+AX37</f>
        <v>9.4</v>
      </c>
      <c r="AY8" s="93">
        <f t="shared" si="3"/>
        <v>0</v>
      </c>
      <c r="AZ8" s="93">
        <f t="shared" si="3"/>
        <v>93544.200000000012</v>
      </c>
      <c r="BA8" s="93">
        <f t="shared" si="3"/>
        <v>250781.40000000002</v>
      </c>
      <c r="BB8" s="93">
        <f t="shared" si="3"/>
        <v>31035.7</v>
      </c>
      <c r="BC8" s="93">
        <f t="shared" si="3"/>
        <v>6325.5</v>
      </c>
      <c r="BD8" s="93">
        <f t="shared" si="3"/>
        <v>7005.9</v>
      </c>
      <c r="BE8" s="93">
        <f t="shared" si="3"/>
        <v>25864.700000000004</v>
      </c>
      <c r="BF8" s="93">
        <f t="shared" si="3"/>
        <v>3734.7</v>
      </c>
      <c r="BG8" s="93">
        <f t="shared" si="3"/>
        <v>3526.8</v>
      </c>
      <c r="BH8" s="93">
        <f>SUM(BI8:BR8)</f>
        <v>419953.9</v>
      </c>
      <c r="BI8" s="62">
        <f t="shared" ref="BI8:BR8" si="4">BI9+BI19+BI23+BI28+BI37</f>
        <v>9.6999999999999993</v>
      </c>
      <c r="BJ8" s="62">
        <f t="shared" si="4"/>
        <v>0</v>
      </c>
      <c r="BK8" s="62">
        <f t="shared" si="4"/>
        <v>90550.399999999994</v>
      </c>
      <c r="BL8" s="62">
        <f t="shared" si="4"/>
        <v>248344.80000000002</v>
      </c>
      <c r="BM8" s="62">
        <f t="shared" si="4"/>
        <v>31124.5</v>
      </c>
      <c r="BN8" s="62">
        <f t="shared" si="4"/>
        <v>6757.0999999999995</v>
      </c>
      <c r="BO8" s="62">
        <f t="shared" si="4"/>
        <v>7027.2</v>
      </c>
      <c r="BP8" s="62">
        <f t="shared" si="4"/>
        <v>25710.7</v>
      </c>
      <c r="BQ8" s="62">
        <f t="shared" si="4"/>
        <v>3734.7</v>
      </c>
      <c r="BR8" s="62">
        <f t="shared" si="4"/>
        <v>6694.8</v>
      </c>
    </row>
    <row r="9" spans="1:70" ht="52.5" x14ac:dyDescent="0.2">
      <c r="A9" s="60" t="s">
        <v>317</v>
      </c>
      <c r="B9" s="61">
        <v>2501</v>
      </c>
      <c r="C9" s="63" t="s">
        <v>10</v>
      </c>
      <c r="D9" s="64" t="s">
        <v>10</v>
      </c>
      <c r="E9" s="64" t="s">
        <v>10</v>
      </c>
      <c r="F9" s="63" t="s">
        <v>10</v>
      </c>
      <c r="G9" s="64" t="s">
        <v>10</v>
      </c>
      <c r="H9" s="64" t="s">
        <v>10</v>
      </c>
      <c r="I9" s="63" t="s">
        <v>10</v>
      </c>
      <c r="J9" s="64" t="s">
        <v>10</v>
      </c>
      <c r="K9" s="64" t="s">
        <v>10</v>
      </c>
      <c r="L9" s="64" t="s">
        <v>10</v>
      </c>
      <c r="M9" s="64" t="s">
        <v>10</v>
      </c>
      <c r="N9" s="93">
        <f>SUM(N10:N18)</f>
        <v>134053.79999999999</v>
      </c>
      <c r="O9" s="93">
        <f>SUM(O12:O18)</f>
        <v>10</v>
      </c>
      <c r="P9" s="93">
        <f>SUM(P10:P18)</f>
        <v>0</v>
      </c>
      <c r="Q9" s="93">
        <f>SUM(Q10:Q15)</f>
        <v>15.2</v>
      </c>
      <c r="R9" s="93">
        <f>SUM(R12:R15)</f>
        <v>33596.899999999994</v>
      </c>
      <c r="S9" s="93">
        <f>SUM(S12:S17)</f>
        <v>58665.499999999993</v>
      </c>
      <c r="T9" s="93">
        <f>SUM(T12:T15)</f>
        <v>28924.800000000003</v>
      </c>
      <c r="U9" s="93">
        <f>SUM(U12:U18)</f>
        <v>1667.1</v>
      </c>
      <c r="V9" s="93">
        <f>SUM(V12:V15)</f>
        <v>862.8</v>
      </c>
      <c r="W9" s="93">
        <f>SUM(W12:W18)</f>
        <v>1081.9000000000001</v>
      </c>
      <c r="X9" s="93">
        <f>SUM(X12:X18)</f>
        <v>0</v>
      </c>
      <c r="Y9" s="93">
        <f>SUM(Y12:Y18)</f>
        <v>9229.6</v>
      </c>
      <c r="Z9" s="93">
        <f>SUM(Z10:Z18)</f>
        <v>131065.5</v>
      </c>
      <c r="AA9" s="93">
        <f>SUM(AA12:AA18)</f>
        <v>10</v>
      </c>
      <c r="AB9" s="93">
        <f>SUM(AB10:AB18)</f>
        <v>0</v>
      </c>
      <c r="AC9" s="93">
        <f>SUM(AC10:AC15)</f>
        <v>15.2</v>
      </c>
      <c r="AD9" s="93">
        <f>SUM(AD12:AD15)</f>
        <v>33362.1</v>
      </c>
      <c r="AE9" s="93">
        <f>SUM(AE12:AE17)</f>
        <v>56201.900000000009</v>
      </c>
      <c r="AF9" s="93">
        <f>SUM(AF12:AF15)</f>
        <v>28924.800000000003</v>
      </c>
      <c r="AG9" s="93">
        <f>SUM(AG12:AG18)</f>
        <v>1666.7</v>
      </c>
      <c r="AH9" s="93">
        <f>SUM(AH12:AH15)</f>
        <v>803.6</v>
      </c>
      <c r="AI9" s="93">
        <f>SUM(AI12:AI18)</f>
        <v>882.5</v>
      </c>
      <c r="AJ9" s="93">
        <f>SUM(AJ12:AJ18)</f>
        <v>0</v>
      </c>
      <c r="AK9" s="93">
        <f>SUM(AK12:AK18)</f>
        <v>9198.7000000000007</v>
      </c>
      <c r="AL9" s="93">
        <f>SUM(AM9:AV9)</f>
        <v>138541.59999999998</v>
      </c>
      <c r="AM9" s="93">
        <f>SUM(AM12:AM18)</f>
        <v>9</v>
      </c>
      <c r="AN9" s="93">
        <f>SUM(AN10:AN15)</f>
        <v>0</v>
      </c>
      <c r="AO9" s="93">
        <f>SUM(AO12:AO15)</f>
        <v>33837.700000000004</v>
      </c>
      <c r="AP9" s="93">
        <f>SUM(AP12:AP17)</f>
        <v>63559.19999999999</v>
      </c>
      <c r="AQ9" s="93">
        <f>SUM(AQ12:AQ15)</f>
        <v>30952.5</v>
      </c>
      <c r="AR9" s="93">
        <f>SUM(AR12:AR18)</f>
        <v>1597.9</v>
      </c>
      <c r="AS9" s="93">
        <f>SUM(AS12:AS15)</f>
        <v>968.5</v>
      </c>
      <c r="AT9" s="93">
        <f>SUM(AT12:AT18)</f>
        <v>2247.9</v>
      </c>
      <c r="AU9" s="93">
        <f>SUM(AU12:AU18)</f>
        <v>0</v>
      </c>
      <c r="AV9" s="93">
        <f>SUM(AV12:AV18)</f>
        <v>5368.9</v>
      </c>
      <c r="AW9" s="93">
        <f>SUM(AX9:BG9)</f>
        <v>136742.09999999998</v>
      </c>
      <c r="AX9" s="93">
        <f>SUM(AX12:AX18)</f>
        <v>9.4</v>
      </c>
      <c r="AY9" s="93">
        <f>SUM(AY10:AY18)</f>
        <v>0</v>
      </c>
      <c r="AZ9" s="93">
        <f>SUM(AZ12:AZ15)</f>
        <v>31671</v>
      </c>
      <c r="BA9" s="93">
        <f>SUM(BA12:BA15)</f>
        <v>65512.6</v>
      </c>
      <c r="BB9" s="93">
        <f>SUM(BB12:BB15)</f>
        <v>31035.7</v>
      </c>
      <c r="BC9" s="93">
        <f>SUM(BC10:BC18)</f>
        <v>1661.8000000000002</v>
      </c>
      <c r="BD9" s="93">
        <f>SUM(BD12:BD15)</f>
        <v>986.89999999999986</v>
      </c>
      <c r="BE9" s="93">
        <f>SUM(BE12:BE18)</f>
        <v>2337.9</v>
      </c>
      <c r="BF9" s="93">
        <f>SUM(BF12:BF18)</f>
        <v>0</v>
      </c>
      <c r="BG9" s="93">
        <f>SUM(BG12:BG18)</f>
        <v>3526.8</v>
      </c>
      <c r="BH9" s="93">
        <f>SUM(BI9:BR9)</f>
        <v>141628.79999999999</v>
      </c>
      <c r="BI9" s="62">
        <f>SUM(BI10:BI18)</f>
        <v>9.6999999999999993</v>
      </c>
      <c r="BJ9" s="62">
        <f t="shared" ref="BJ9:BP9" si="5">SUM(BJ10:BJ18)</f>
        <v>0</v>
      </c>
      <c r="BK9" s="62">
        <f t="shared" si="5"/>
        <v>32139.3</v>
      </c>
      <c r="BL9" s="62">
        <f t="shared" si="5"/>
        <v>66492.5</v>
      </c>
      <c r="BM9" s="62">
        <f t="shared" si="5"/>
        <v>31124.5</v>
      </c>
      <c r="BN9" s="62">
        <f t="shared" si="5"/>
        <v>1728.3999999999999</v>
      </c>
      <c r="BO9" s="62">
        <f t="shared" si="5"/>
        <v>1008.1999999999999</v>
      </c>
      <c r="BP9" s="62">
        <f t="shared" si="5"/>
        <v>2431.4</v>
      </c>
      <c r="BQ9" s="62">
        <f>SUM(BQ10:BQ18)</f>
        <v>0</v>
      </c>
      <c r="BR9" s="62">
        <f>SUM(BR10:BR18)</f>
        <v>6694.8</v>
      </c>
    </row>
    <row r="10" spans="1:70" s="142" customFormat="1" ht="45" x14ac:dyDescent="0.2">
      <c r="A10" s="86" t="s">
        <v>324</v>
      </c>
      <c r="B10" s="141" t="s">
        <v>513</v>
      </c>
      <c r="C10" s="86"/>
      <c r="D10" s="77"/>
      <c r="E10" s="77"/>
      <c r="F10" s="86"/>
      <c r="G10" s="77"/>
      <c r="H10" s="77"/>
      <c r="I10" s="86"/>
      <c r="J10" s="77"/>
      <c r="K10" s="77"/>
      <c r="L10" s="77"/>
      <c r="M10" s="77"/>
      <c r="N10" s="177">
        <f>SUM(O10:Y10)</f>
        <v>0</v>
      </c>
      <c r="O10" s="93"/>
      <c r="P10" s="93">
        <v>0</v>
      </c>
      <c r="Q10" s="93"/>
      <c r="R10" s="93"/>
      <c r="S10" s="93"/>
      <c r="T10" s="93"/>
      <c r="U10" s="93"/>
      <c r="V10" s="93"/>
      <c r="W10" s="93"/>
      <c r="X10" s="93"/>
      <c r="Y10" s="93"/>
      <c r="Z10" s="177">
        <f>SUM(AA10:AK10)</f>
        <v>0</v>
      </c>
      <c r="AA10" s="93"/>
      <c r="AB10" s="93">
        <v>0</v>
      </c>
      <c r="AC10" s="93"/>
      <c r="AD10" s="93"/>
      <c r="AE10" s="93"/>
      <c r="AF10" s="93"/>
      <c r="AG10" s="93"/>
      <c r="AH10" s="93"/>
      <c r="AI10" s="93"/>
      <c r="AJ10" s="93"/>
      <c r="AK10" s="93"/>
      <c r="AL10" s="177">
        <f>SUM(AM10:AT10)</f>
        <v>0</v>
      </c>
      <c r="AM10" s="93"/>
      <c r="AN10" s="93"/>
      <c r="AO10" s="93"/>
      <c r="AP10" s="93"/>
      <c r="AQ10" s="93"/>
      <c r="AR10" s="93"/>
      <c r="AS10" s="93"/>
      <c r="AT10" s="93"/>
      <c r="AU10" s="93"/>
      <c r="AV10" s="93"/>
      <c r="AW10" s="177">
        <f>SUM(AX10:BE10)</f>
        <v>0</v>
      </c>
      <c r="AX10" s="93"/>
      <c r="AY10" s="93"/>
      <c r="AZ10" s="93"/>
      <c r="BA10" s="93"/>
      <c r="BB10" s="93"/>
      <c r="BC10" s="93"/>
      <c r="BD10" s="93"/>
      <c r="BE10" s="93"/>
      <c r="BF10" s="93"/>
      <c r="BG10" s="93"/>
      <c r="BH10" s="177">
        <f>SUM(BI10:BP10)</f>
        <v>0</v>
      </c>
      <c r="BI10" s="78"/>
      <c r="BJ10" s="78"/>
      <c r="BK10" s="78"/>
      <c r="BL10" s="78"/>
      <c r="BM10" s="78"/>
      <c r="BN10" s="78"/>
      <c r="BO10" s="78"/>
      <c r="BP10" s="78"/>
      <c r="BQ10" s="78"/>
      <c r="BR10" s="78"/>
    </row>
    <row r="11" spans="1:70" s="142" customFormat="1" ht="22.5" x14ac:dyDescent="0.2">
      <c r="A11" s="86" t="s">
        <v>327</v>
      </c>
      <c r="B11" s="141" t="s">
        <v>514</v>
      </c>
      <c r="C11" s="86"/>
      <c r="D11" s="77"/>
      <c r="E11" s="77"/>
      <c r="F11" s="86"/>
      <c r="G11" s="77"/>
      <c r="H11" s="77"/>
      <c r="I11" s="86"/>
      <c r="J11" s="77"/>
      <c r="K11" s="77"/>
      <c r="L11" s="77"/>
      <c r="M11" s="77"/>
      <c r="N11" s="177">
        <f t="shared" ref="N11:N18" si="6">SUM(O11:Y11)</f>
        <v>15.2</v>
      </c>
      <c r="O11" s="93"/>
      <c r="P11" s="93"/>
      <c r="Q11" s="93">
        <v>15.2</v>
      </c>
      <c r="R11" s="93"/>
      <c r="S11" s="93"/>
      <c r="T11" s="93"/>
      <c r="U11" s="93"/>
      <c r="V11" s="93"/>
      <c r="W11" s="93"/>
      <c r="X11" s="93"/>
      <c r="Y11" s="93"/>
      <c r="Z11" s="177">
        <f t="shared" ref="Z11:Z18" si="7">SUM(AA11:AK11)</f>
        <v>15.2</v>
      </c>
      <c r="AA11" s="93"/>
      <c r="AB11" s="93"/>
      <c r="AC11" s="93">
        <v>15.2</v>
      </c>
      <c r="AD11" s="93"/>
      <c r="AE11" s="93"/>
      <c r="AF11" s="93"/>
      <c r="AG11" s="93"/>
      <c r="AH11" s="93"/>
      <c r="AI11" s="93"/>
      <c r="AJ11" s="93"/>
      <c r="AK11" s="93"/>
      <c r="AL11" s="177">
        <f>SUM(AM11:AT11)</f>
        <v>0</v>
      </c>
      <c r="AM11" s="93"/>
      <c r="AN11" s="93">
        <v>0</v>
      </c>
      <c r="AO11" s="93"/>
      <c r="AP11" s="93"/>
      <c r="AQ11" s="93"/>
      <c r="AR11" s="93"/>
      <c r="AS11" s="93"/>
      <c r="AT11" s="93"/>
      <c r="AU11" s="93"/>
      <c r="AV11" s="93"/>
      <c r="AW11" s="177">
        <f>SUM(AX11:BE11)</f>
        <v>0</v>
      </c>
      <c r="AX11" s="93"/>
      <c r="AY11" s="93">
        <v>0</v>
      </c>
      <c r="AZ11" s="93"/>
      <c r="BA11" s="93"/>
      <c r="BB11" s="93"/>
      <c r="BC11" s="93"/>
      <c r="BD11" s="93"/>
      <c r="BE11" s="93"/>
      <c r="BF11" s="93"/>
      <c r="BG11" s="93"/>
      <c r="BH11" s="177">
        <f>SUM(BI11:BP11)</f>
        <v>0</v>
      </c>
      <c r="BI11" s="78"/>
      <c r="BJ11" s="78">
        <v>0</v>
      </c>
      <c r="BK11" s="78"/>
      <c r="BL11" s="78"/>
      <c r="BM11" s="78"/>
      <c r="BN11" s="78"/>
      <c r="BO11" s="78"/>
      <c r="BP11" s="78"/>
      <c r="BQ11" s="78"/>
      <c r="BR11" s="78"/>
    </row>
    <row r="12" spans="1:70" ht="109.5" customHeight="1" x14ac:dyDescent="0.2">
      <c r="A12" s="86" t="s">
        <v>328</v>
      </c>
      <c r="B12" s="74">
        <v>2522</v>
      </c>
      <c r="C12" s="21" t="s">
        <v>75</v>
      </c>
      <c r="D12" s="21" t="s">
        <v>76</v>
      </c>
      <c r="E12" s="21" t="s">
        <v>162</v>
      </c>
      <c r="F12" s="21" t="s">
        <v>77</v>
      </c>
      <c r="G12" s="21" t="s">
        <v>78</v>
      </c>
      <c r="H12" s="21" t="s">
        <v>79</v>
      </c>
      <c r="I12" s="21" t="s">
        <v>221</v>
      </c>
      <c r="J12" s="21" t="s">
        <v>188</v>
      </c>
      <c r="K12" s="21" t="s">
        <v>222</v>
      </c>
      <c r="L12" s="17" t="s">
        <v>27</v>
      </c>
      <c r="M12" s="23" t="s">
        <v>147</v>
      </c>
      <c r="N12" s="177">
        <f>SUM(O12:Y12)</f>
        <v>33596.899999999994</v>
      </c>
      <c r="O12" s="177"/>
      <c r="P12" s="177"/>
      <c r="Q12" s="177">
        <v>0</v>
      </c>
      <c r="R12" s="177">
        <f>26822.6+1147.1+290.8+807.3+1467.7+3061.4</f>
        <v>33596.899999999994</v>
      </c>
      <c r="S12" s="177"/>
      <c r="T12" s="177"/>
      <c r="U12" s="177"/>
      <c r="V12" s="177"/>
      <c r="W12" s="177"/>
      <c r="X12" s="177"/>
      <c r="Y12" s="177"/>
      <c r="Z12" s="177">
        <f t="shared" si="7"/>
        <v>33362.1</v>
      </c>
      <c r="AA12" s="177"/>
      <c r="AB12" s="177"/>
      <c r="AC12" s="177">
        <v>0</v>
      </c>
      <c r="AD12" s="177">
        <f>26822.6+1013.3+290.8+726.1+1467.4+3041.9</f>
        <v>33362.1</v>
      </c>
      <c r="AE12" s="177"/>
      <c r="AF12" s="177"/>
      <c r="AG12" s="177"/>
      <c r="AH12" s="177"/>
      <c r="AI12" s="177"/>
      <c r="AJ12" s="177"/>
      <c r="AK12" s="177"/>
      <c r="AL12" s="177">
        <f t="shared" ref="AL12:AL17" si="8">SUM(AO12:AT12)</f>
        <v>34055.800000000003</v>
      </c>
      <c r="AM12" s="177"/>
      <c r="AN12" s="177">
        <v>0</v>
      </c>
      <c r="AO12" s="177">
        <f>28904.9+1057.2+1167.7+2707.9</f>
        <v>33837.700000000004</v>
      </c>
      <c r="AP12" s="177"/>
      <c r="AQ12" s="177"/>
      <c r="AR12" s="177"/>
      <c r="AS12" s="177"/>
      <c r="AT12" s="177">
        <v>218.1</v>
      </c>
      <c r="AU12" s="177"/>
      <c r="AV12" s="177"/>
      <c r="AW12" s="177">
        <f t="shared" ref="AW12:AW17" si="9">SUM(AZ12:BE12)</f>
        <v>31671</v>
      </c>
      <c r="AX12" s="177"/>
      <c r="AY12" s="177"/>
      <c r="AZ12" s="177">
        <f>29358.5+1099.5+1213</f>
        <v>31671</v>
      </c>
      <c r="BA12" s="177"/>
      <c r="BB12" s="177"/>
      <c r="BC12" s="177"/>
      <c r="BD12" s="177"/>
      <c r="BE12" s="177"/>
      <c r="BF12" s="177"/>
      <c r="BG12" s="177"/>
      <c r="BH12" s="177">
        <f>SUM(BK12:BP12)</f>
        <v>32139.3</v>
      </c>
      <c r="BI12" s="11"/>
      <c r="BJ12" s="11"/>
      <c r="BK12" s="11">
        <f>29734.3+1143.5+1261.5</f>
        <v>32139.3</v>
      </c>
      <c r="BL12" s="11"/>
      <c r="BM12" s="11"/>
      <c r="BN12" s="11"/>
      <c r="BO12" s="11"/>
      <c r="BP12" s="11"/>
      <c r="BQ12" s="11"/>
      <c r="BR12" s="11"/>
    </row>
    <row r="13" spans="1:70" ht="144.75" customHeight="1" x14ac:dyDescent="0.2">
      <c r="A13" s="86" t="s">
        <v>329</v>
      </c>
      <c r="B13" s="74">
        <v>2524</v>
      </c>
      <c r="C13" s="21"/>
      <c r="D13" s="21"/>
      <c r="E13" s="21"/>
      <c r="F13" s="21"/>
      <c r="G13" s="21"/>
      <c r="H13" s="21"/>
      <c r="I13" s="21"/>
      <c r="J13" s="21"/>
      <c r="K13" s="21"/>
      <c r="L13" s="17"/>
      <c r="M13" s="23"/>
      <c r="N13" s="177">
        <f t="shared" si="6"/>
        <v>59747.399999999994</v>
      </c>
      <c r="O13" s="177"/>
      <c r="P13" s="177"/>
      <c r="Q13" s="177">
        <v>0</v>
      </c>
      <c r="R13" s="177">
        <v>0</v>
      </c>
      <c r="S13" s="177">
        <f>28461.5+4432.6+5815.1+274.2+191.6+12263.2+624+3189.1+3414.2</f>
        <v>58665.499999999993</v>
      </c>
      <c r="T13" s="177"/>
      <c r="U13" s="177"/>
      <c r="V13" s="177"/>
      <c r="W13" s="177">
        <f>112.9+969</f>
        <v>1081.9000000000001</v>
      </c>
      <c r="X13" s="177"/>
      <c r="Y13" s="177"/>
      <c r="Z13" s="177">
        <f t="shared" si="7"/>
        <v>57084.400000000009</v>
      </c>
      <c r="AA13" s="177"/>
      <c r="AB13" s="177"/>
      <c r="AC13" s="177">
        <v>0</v>
      </c>
      <c r="AD13" s="177">
        <v>0</v>
      </c>
      <c r="AE13" s="177">
        <f>28461.5+4432.6+5580.3+236+178.1+10227.8+623.9+3047.4+3414.3</f>
        <v>56201.900000000009</v>
      </c>
      <c r="AF13" s="177"/>
      <c r="AG13" s="177"/>
      <c r="AH13" s="177"/>
      <c r="AI13" s="177">
        <f>103.1+779.4</f>
        <v>882.5</v>
      </c>
      <c r="AJ13" s="177"/>
      <c r="AK13" s="177"/>
      <c r="AL13" s="177">
        <f t="shared" si="8"/>
        <v>65588.999999999985</v>
      </c>
      <c r="AM13" s="177"/>
      <c r="AN13" s="177">
        <v>0</v>
      </c>
      <c r="AO13" s="177"/>
      <c r="AP13" s="177">
        <f>33086.7+5489.2+6117.2+225.6+250.8+12157.8+3500+2132+599.9</f>
        <v>63559.19999999999</v>
      </c>
      <c r="AQ13" s="177"/>
      <c r="AR13" s="177"/>
      <c r="AS13" s="177"/>
      <c r="AT13" s="177">
        <v>2029.8</v>
      </c>
      <c r="AU13" s="177"/>
      <c r="AV13" s="177"/>
      <c r="AW13" s="177">
        <f t="shared" si="9"/>
        <v>67850.5</v>
      </c>
      <c r="AX13" s="177"/>
      <c r="AY13" s="177"/>
      <c r="AZ13" s="177"/>
      <c r="BA13" s="177">
        <f>33594.2+5489.2+6361.9+234.7+260.8+2133+5435.3+12003.5</f>
        <v>65512.6</v>
      </c>
      <c r="BB13" s="177"/>
      <c r="BC13" s="177"/>
      <c r="BD13" s="177"/>
      <c r="BE13" s="177">
        <f>226.9+2111</f>
        <v>2337.9</v>
      </c>
      <c r="BF13" s="177"/>
      <c r="BG13" s="177"/>
      <c r="BH13" s="177">
        <f>SUM(BK13:BP13)</f>
        <v>68923.899999999994</v>
      </c>
      <c r="BI13" s="11"/>
      <c r="BJ13" s="11"/>
      <c r="BK13" s="11"/>
      <c r="BL13" s="11">
        <f>33795.7+5489.2+6616.4+244.1+271.2+11721.4+8354.5</f>
        <v>66492.5</v>
      </c>
      <c r="BM13" s="11"/>
      <c r="BN13" s="11"/>
      <c r="BO13" s="11"/>
      <c r="BP13" s="11">
        <f>235.9+2195.5</f>
        <v>2431.4</v>
      </c>
      <c r="BQ13" s="11"/>
      <c r="BR13" s="11"/>
    </row>
    <row r="14" spans="1:70" ht="67.5" x14ac:dyDescent="0.2">
      <c r="A14" s="86" t="s">
        <v>330</v>
      </c>
      <c r="B14" s="74">
        <v>2525</v>
      </c>
      <c r="C14" s="21"/>
      <c r="D14" s="21"/>
      <c r="E14" s="21"/>
      <c r="F14" s="21"/>
      <c r="G14" s="21"/>
      <c r="H14" s="21"/>
      <c r="I14" s="21"/>
      <c r="J14" s="21"/>
      <c r="K14" s="21"/>
      <c r="L14" s="17"/>
      <c r="M14" s="23"/>
      <c r="N14" s="177">
        <f t="shared" si="6"/>
        <v>29787.600000000002</v>
      </c>
      <c r="O14" s="177"/>
      <c r="P14" s="177"/>
      <c r="Q14" s="177"/>
      <c r="R14" s="177"/>
      <c r="S14" s="177"/>
      <c r="T14" s="177">
        <f>17951.2+10973.6</f>
        <v>28924.800000000003</v>
      </c>
      <c r="U14" s="177"/>
      <c r="V14" s="177">
        <v>862.8</v>
      </c>
      <c r="W14" s="177"/>
      <c r="X14" s="177"/>
      <c r="Y14" s="177"/>
      <c r="Z14" s="177">
        <f t="shared" si="7"/>
        <v>29728.400000000001</v>
      </c>
      <c r="AA14" s="177"/>
      <c r="AB14" s="177"/>
      <c r="AC14" s="177"/>
      <c r="AD14" s="177"/>
      <c r="AE14" s="177"/>
      <c r="AF14" s="177">
        <f>17951.2+10973.6</f>
        <v>28924.800000000003</v>
      </c>
      <c r="AG14" s="177"/>
      <c r="AH14" s="177">
        <v>803.6</v>
      </c>
      <c r="AI14" s="177"/>
      <c r="AJ14" s="177"/>
      <c r="AK14" s="177"/>
      <c r="AL14" s="177">
        <f t="shared" si="8"/>
        <v>31921</v>
      </c>
      <c r="AM14" s="177"/>
      <c r="AN14" s="177"/>
      <c r="AO14" s="177"/>
      <c r="AP14" s="177"/>
      <c r="AQ14" s="177">
        <v>30952.5</v>
      </c>
      <c r="AR14" s="177"/>
      <c r="AS14" s="177">
        <f>688.3+240+40.2</f>
        <v>968.5</v>
      </c>
      <c r="AT14" s="177"/>
      <c r="AU14" s="177"/>
      <c r="AV14" s="177"/>
      <c r="AW14" s="177">
        <f t="shared" si="9"/>
        <v>32022.600000000002</v>
      </c>
      <c r="AX14" s="177"/>
      <c r="AY14" s="177"/>
      <c r="AZ14" s="177"/>
      <c r="BA14" s="177"/>
      <c r="BB14" s="177">
        <f>19652.7+11383</f>
        <v>31035.7</v>
      </c>
      <c r="BC14" s="177"/>
      <c r="BD14" s="177">
        <f>700.9+245.2+40.8</f>
        <v>986.89999999999986</v>
      </c>
      <c r="BE14" s="177"/>
      <c r="BF14" s="177"/>
      <c r="BG14" s="177"/>
      <c r="BH14" s="177">
        <f>SUM(BK14:BP14)</f>
        <v>32132.7</v>
      </c>
      <c r="BI14" s="11"/>
      <c r="BJ14" s="11"/>
      <c r="BK14" s="11"/>
      <c r="BL14" s="11"/>
      <c r="BM14" s="11">
        <f>19719.5+11405</f>
        <v>31124.5</v>
      </c>
      <c r="BN14" s="11"/>
      <c r="BO14" s="11">
        <f>716.3+250.5+41.4</f>
        <v>1008.1999999999999</v>
      </c>
      <c r="BP14" s="11"/>
      <c r="BQ14" s="11"/>
      <c r="BR14" s="11"/>
    </row>
    <row r="15" spans="1:70" ht="45" x14ac:dyDescent="0.2">
      <c r="A15" s="86" t="s">
        <v>331</v>
      </c>
      <c r="B15" s="74">
        <v>2526</v>
      </c>
      <c r="C15" s="21"/>
      <c r="D15" s="21"/>
      <c r="E15" s="21"/>
      <c r="F15" s="21"/>
      <c r="G15" s="21"/>
      <c r="H15" s="21"/>
      <c r="I15" s="21"/>
      <c r="J15" s="21"/>
      <c r="K15" s="21"/>
      <c r="L15" s="17"/>
      <c r="M15" s="23"/>
      <c r="N15" s="177">
        <f t="shared" si="6"/>
        <v>1667.1</v>
      </c>
      <c r="O15" s="177"/>
      <c r="P15" s="177"/>
      <c r="Q15" s="177"/>
      <c r="R15" s="177"/>
      <c r="S15" s="177"/>
      <c r="T15" s="177"/>
      <c r="U15" s="177">
        <f>31.3+1635.8</f>
        <v>1667.1</v>
      </c>
      <c r="V15" s="177"/>
      <c r="W15" s="177"/>
      <c r="X15" s="177"/>
      <c r="Y15" s="177"/>
      <c r="Z15" s="177">
        <f t="shared" si="7"/>
        <v>1666.7</v>
      </c>
      <c r="AA15" s="177"/>
      <c r="AB15" s="177"/>
      <c r="AC15" s="177"/>
      <c r="AD15" s="177"/>
      <c r="AE15" s="177"/>
      <c r="AF15" s="177"/>
      <c r="AG15" s="177">
        <f>31.3+1635.4</f>
        <v>1666.7</v>
      </c>
      <c r="AH15" s="177"/>
      <c r="AI15" s="177"/>
      <c r="AJ15" s="177"/>
      <c r="AK15" s="177"/>
      <c r="AL15" s="177">
        <f t="shared" si="8"/>
        <v>1597.9</v>
      </c>
      <c r="AM15" s="177"/>
      <c r="AN15" s="177"/>
      <c r="AO15" s="177"/>
      <c r="AP15" s="177"/>
      <c r="AQ15" s="177"/>
      <c r="AR15" s="177">
        <f>105.7+1492.2</f>
        <v>1597.9</v>
      </c>
      <c r="AS15" s="177"/>
      <c r="AT15" s="177"/>
      <c r="AU15" s="177"/>
      <c r="AV15" s="177"/>
      <c r="AW15" s="177">
        <f t="shared" si="9"/>
        <v>1661.8000000000002</v>
      </c>
      <c r="AX15" s="177"/>
      <c r="AY15" s="177"/>
      <c r="AZ15" s="177"/>
      <c r="BA15" s="177"/>
      <c r="BB15" s="177"/>
      <c r="BC15" s="177">
        <f>109.9+1551.9</f>
        <v>1661.8000000000002</v>
      </c>
      <c r="BD15" s="177"/>
      <c r="BE15" s="177"/>
      <c r="BF15" s="177"/>
      <c r="BG15" s="177"/>
      <c r="BH15" s="177">
        <f>SUM(BI15:BP15)</f>
        <v>1728.3999999999999</v>
      </c>
      <c r="BI15" s="11"/>
      <c r="BJ15" s="11"/>
      <c r="BK15" s="11"/>
      <c r="BL15" s="11"/>
      <c r="BM15" s="11"/>
      <c r="BN15" s="11">
        <f>114.3+1614.1</f>
        <v>1728.3999999999999</v>
      </c>
      <c r="BO15" s="11"/>
      <c r="BP15" s="11"/>
      <c r="BQ15" s="11"/>
      <c r="BR15" s="11"/>
    </row>
    <row r="16" spans="1:70" ht="33.75" x14ac:dyDescent="0.2">
      <c r="A16" s="86" t="s">
        <v>336</v>
      </c>
      <c r="B16" s="74">
        <v>2534</v>
      </c>
      <c r="C16" s="21"/>
      <c r="D16" s="21"/>
      <c r="E16" s="21"/>
      <c r="F16" s="21"/>
      <c r="G16" s="21"/>
      <c r="H16" s="21"/>
      <c r="I16" s="21"/>
      <c r="J16" s="21"/>
      <c r="K16" s="21"/>
      <c r="L16" s="17"/>
      <c r="M16" s="23"/>
      <c r="N16" s="177">
        <f t="shared" si="6"/>
        <v>9229.6</v>
      </c>
      <c r="O16" s="177"/>
      <c r="P16" s="177"/>
      <c r="Q16" s="177"/>
      <c r="R16" s="177"/>
      <c r="S16" s="177">
        <v>0</v>
      </c>
      <c r="T16" s="177"/>
      <c r="U16" s="177"/>
      <c r="V16" s="177"/>
      <c r="W16" s="177"/>
      <c r="X16" s="177"/>
      <c r="Y16" s="177">
        <v>9229.6</v>
      </c>
      <c r="Z16" s="177">
        <f t="shared" si="7"/>
        <v>9198.7000000000007</v>
      </c>
      <c r="AA16" s="177"/>
      <c r="AB16" s="177"/>
      <c r="AC16" s="177"/>
      <c r="AD16" s="177"/>
      <c r="AE16" s="177"/>
      <c r="AF16" s="177"/>
      <c r="AG16" s="177"/>
      <c r="AH16" s="177"/>
      <c r="AI16" s="177"/>
      <c r="AJ16" s="177"/>
      <c r="AK16" s="177">
        <v>9198.7000000000007</v>
      </c>
      <c r="AL16" s="177">
        <f>SUM(AO16:AV16)</f>
        <v>5368.9</v>
      </c>
      <c r="AM16" s="177"/>
      <c r="AN16" s="177"/>
      <c r="AO16" s="177"/>
      <c r="AP16" s="177">
        <v>0</v>
      </c>
      <c r="AQ16" s="177"/>
      <c r="AR16" s="177"/>
      <c r="AS16" s="177"/>
      <c r="AT16" s="177"/>
      <c r="AU16" s="177"/>
      <c r="AV16" s="177">
        <v>5368.9</v>
      </c>
      <c r="AW16" s="177">
        <f>SUM(AZ16:BG16)</f>
        <v>3526.8</v>
      </c>
      <c r="AX16" s="177"/>
      <c r="AY16" s="177"/>
      <c r="AZ16" s="177"/>
      <c r="BA16" s="177"/>
      <c r="BB16" s="177"/>
      <c r="BC16" s="177"/>
      <c r="BD16" s="177"/>
      <c r="BE16" s="177"/>
      <c r="BF16" s="177"/>
      <c r="BG16" s="177">
        <v>3526.8</v>
      </c>
      <c r="BH16" s="177">
        <f>SUM(BI16:BR16)</f>
        <v>6694.8</v>
      </c>
      <c r="BI16" s="11"/>
      <c r="BJ16" s="11"/>
      <c r="BK16" s="11"/>
      <c r="BL16" s="11"/>
      <c r="BM16" s="11"/>
      <c r="BN16" s="11"/>
      <c r="BO16" s="11"/>
      <c r="BP16" s="11"/>
      <c r="BQ16" s="11"/>
      <c r="BR16" s="11">
        <v>6694.8</v>
      </c>
    </row>
    <row r="17" spans="1:70" ht="22.5" x14ac:dyDescent="0.2">
      <c r="A17" s="86" t="s">
        <v>346</v>
      </c>
      <c r="B17" s="74">
        <v>2555</v>
      </c>
      <c r="C17" s="21"/>
      <c r="D17" s="21"/>
      <c r="E17" s="21"/>
      <c r="F17" s="21"/>
      <c r="G17" s="21"/>
      <c r="H17" s="21"/>
      <c r="I17" s="21"/>
      <c r="J17" s="21"/>
      <c r="K17" s="21"/>
      <c r="L17" s="17"/>
      <c r="M17" s="23"/>
      <c r="N17" s="177">
        <f t="shared" si="6"/>
        <v>0</v>
      </c>
      <c r="O17" s="177"/>
      <c r="P17" s="177"/>
      <c r="Q17" s="177"/>
      <c r="R17" s="177"/>
      <c r="S17" s="177"/>
      <c r="T17" s="177"/>
      <c r="U17" s="177">
        <v>0</v>
      </c>
      <c r="V17" s="177"/>
      <c r="W17" s="177"/>
      <c r="X17" s="177"/>
      <c r="Y17" s="177"/>
      <c r="Z17" s="177">
        <f t="shared" si="7"/>
        <v>0</v>
      </c>
      <c r="AA17" s="177"/>
      <c r="AB17" s="177"/>
      <c r="AC17" s="177"/>
      <c r="AD17" s="177"/>
      <c r="AE17" s="177"/>
      <c r="AF17" s="177"/>
      <c r="AG17" s="177">
        <v>0</v>
      </c>
      <c r="AH17" s="177"/>
      <c r="AI17" s="177"/>
      <c r="AJ17" s="177"/>
      <c r="AK17" s="177"/>
      <c r="AL17" s="177">
        <f t="shared" si="8"/>
        <v>0</v>
      </c>
      <c r="AM17" s="177"/>
      <c r="AN17" s="177"/>
      <c r="AO17" s="177"/>
      <c r="AP17" s="177"/>
      <c r="AQ17" s="177"/>
      <c r="AR17" s="177">
        <v>0</v>
      </c>
      <c r="AS17" s="177"/>
      <c r="AT17" s="177"/>
      <c r="AU17" s="177"/>
      <c r="AV17" s="177"/>
      <c r="AW17" s="177">
        <f t="shared" si="9"/>
        <v>0</v>
      </c>
      <c r="AX17" s="177"/>
      <c r="AY17" s="177"/>
      <c r="AZ17" s="177"/>
      <c r="BA17" s="177"/>
      <c r="BB17" s="177"/>
      <c r="BC17" s="177">
        <v>0</v>
      </c>
      <c r="BD17" s="177"/>
      <c r="BE17" s="177"/>
      <c r="BF17" s="177"/>
      <c r="BG17" s="177"/>
      <c r="BH17" s="177">
        <f>SUM(BI17:BP17)</f>
        <v>0</v>
      </c>
      <c r="BI17" s="11"/>
      <c r="BJ17" s="11"/>
      <c r="BK17" s="11"/>
      <c r="BL17" s="11"/>
      <c r="BM17" s="11"/>
      <c r="BN17" s="11">
        <v>0</v>
      </c>
      <c r="BO17" s="11"/>
      <c r="BP17" s="11"/>
      <c r="BQ17" s="11"/>
      <c r="BR17" s="11"/>
    </row>
    <row r="18" spans="1:70" ht="33.75" x14ac:dyDescent="0.2">
      <c r="A18" s="86" t="s">
        <v>334</v>
      </c>
      <c r="B18" s="74">
        <v>2531</v>
      </c>
      <c r="C18" s="21"/>
      <c r="D18" s="21"/>
      <c r="E18" s="21"/>
      <c r="F18" s="21"/>
      <c r="G18" s="21"/>
      <c r="H18" s="21"/>
      <c r="I18" s="21"/>
      <c r="J18" s="21"/>
      <c r="K18" s="21"/>
      <c r="L18" s="17"/>
      <c r="M18" s="23"/>
      <c r="N18" s="177">
        <f t="shared" si="6"/>
        <v>10</v>
      </c>
      <c r="O18" s="177">
        <v>10</v>
      </c>
      <c r="P18" s="177"/>
      <c r="Q18" s="177"/>
      <c r="R18" s="177"/>
      <c r="S18" s="177"/>
      <c r="T18" s="177"/>
      <c r="U18" s="177"/>
      <c r="V18" s="177"/>
      <c r="W18" s="177"/>
      <c r="X18" s="177"/>
      <c r="Y18" s="177"/>
      <c r="Z18" s="177">
        <f t="shared" si="7"/>
        <v>10</v>
      </c>
      <c r="AA18" s="177">
        <v>10</v>
      </c>
      <c r="AB18" s="177"/>
      <c r="AC18" s="177"/>
      <c r="AD18" s="177"/>
      <c r="AE18" s="177"/>
      <c r="AF18" s="177"/>
      <c r="AG18" s="177"/>
      <c r="AH18" s="177"/>
      <c r="AI18" s="177"/>
      <c r="AJ18" s="177"/>
      <c r="AK18" s="177"/>
      <c r="AL18" s="177">
        <f>SUM(AM18:AT18)</f>
        <v>9</v>
      </c>
      <c r="AM18" s="177">
        <v>9</v>
      </c>
      <c r="AN18" s="177"/>
      <c r="AO18" s="177"/>
      <c r="AP18" s="177"/>
      <c r="AQ18" s="177"/>
      <c r="AR18" s="177"/>
      <c r="AS18" s="177"/>
      <c r="AT18" s="177"/>
      <c r="AU18" s="177"/>
      <c r="AV18" s="177"/>
      <c r="AW18" s="177">
        <f>SUM(AX18:BE18)</f>
        <v>9.4</v>
      </c>
      <c r="AX18" s="177">
        <v>9.4</v>
      </c>
      <c r="AY18" s="177"/>
      <c r="AZ18" s="177"/>
      <c r="BA18" s="177"/>
      <c r="BB18" s="177"/>
      <c r="BC18" s="177"/>
      <c r="BD18" s="177"/>
      <c r="BE18" s="177"/>
      <c r="BF18" s="177"/>
      <c r="BG18" s="177"/>
      <c r="BH18" s="177">
        <f>SUM(BI18:BP18)</f>
        <v>9.6999999999999993</v>
      </c>
      <c r="BI18" s="11">
        <v>9.6999999999999993</v>
      </c>
      <c r="BJ18" s="11"/>
      <c r="BK18" s="11"/>
      <c r="BL18" s="11"/>
      <c r="BM18" s="11"/>
      <c r="BN18" s="11"/>
      <c r="BO18" s="11"/>
      <c r="BP18" s="11"/>
      <c r="BQ18" s="11"/>
      <c r="BR18" s="11"/>
    </row>
    <row r="19" spans="1:70" ht="73.5" x14ac:dyDescent="0.2">
      <c r="A19" s="60" t="s">
        <v>349</v>
      </c>
      <c r="B19" s="61" t="s">
        <v>350</v>
      </c>
      <c r="C19" s="66" t="s">
        <v>10</v>
      </c>
      <c r="D19" s="67" t="s">
        <v>10</v>
      </c>
      <c r="E19" s="67" t="s">
        <v>10</v>
      </c>
      <c r="F19" s="66" t="s">
        <v>10</v>
      </c>
      <c r="G19" s="67" t="s">
        <v>10</v>
      </c>
      <c r="H19" s="67" t="s">
        <v>10</v>
      </c>
      <c r="I19" s="66" t="s">
        <v>10</v>
      </c>
      <c r="J19" s="67" t="s">
        <v>10</v>
      </c>
      <c r="K19" s="67" t="s">
        <v>10</v>
      </c>
      <c r="L19" s="64" t="s">
        <v>10</v>
      </c>
      <c r="M19" s="64" t="s">
        <v>10</v>
      </c>
      <c r="N19" s="178">
        <f>SUM(N20:N22)</f>
        <v>5836.4</v>
      </c>
      <c r="O19" s="178"/>
      <c r="P19" s="178"/>
      <c r="Q19" s="93">
        <f>SUM(Q20:Q22)</f>
        <v>0</v>
      </c>
      <c r="R19" s="93">
        <f>SUM(R20:R22)</f>
        <v>0</v>
      </c>
      <c r="S19" s="93">
        <f>SUM(S20:S22)</f>
        <v>0</v>
      </c>
      <c r="T19" s="93">
        <f>SUM(T20:T22)</f>
        <v>0</v>
      </c>
      <c r="U19" s="93"/>
      <c r="V19" s="93">
        <f>SUM(V20:V22)</f>
        <v>5660.1</v>
      </c>
      <c r="W19" s="93">
        <f>SUM(W20:W22)</f>
        <v>176.3</v>
      </c>
      <c r="X19" s="93">
        <f>SUM(X20:X22)</f>
        <v>0</v>
      </c>
      <c r="Y19" s="93">
        <f>SUM(Y20:Y22)</f>
        <v>0</v>
      </c>
      <c r="Z19" s="178">
        <f>SUM(Z20:Z22)</f>
        <v>5710.9999999999991</v>
      </c>
      <c r="AA19" s="178"/>
      <c r="AB19" s="178"/>
      <c r="AC19" s="93">
        <f>SUM(AC20:AC22)</f>
        <v>0</v>
      </c>
      <c r="AD19" s="93">
        <f>SUM(AD20:AD22)</f>
        <v>0</v>
      </c>
      <c r="AE19" s="93">
        <f>SUM(AE20:AE22)</f>
        <v>0</v>
      </c>
      <c r="AF19" s="93">
        <f>SUM(AF20:AF22)</f>
        <v>0</v>
      </c>
      <c r="AG19" s="93"/>
      <c r="AH19" s="93">
        <f>SUM(AH20:AH22)</f>
        <v>5554.4</v>
      </c>
      <c r="AI19" s="93">
        <f>SUM(AI20:AI22)</f>
        <v>156.6</v>
      </c>
      <c r="AJ19" s="93">
        <f>SUM(AJ20:AJ22)</f>
        <v>0</v>
      </c>
      <c r="AK19" s="93">
        <f>SUM(AK20:AK22)</f>
        <v>0</v>
      </c>
      <c r="AL19" s="178">
        <f>SUM(AO19:AT19)</f>
        <v>6178.1</v>
      </c>
      <c r="AM19" s="178"/>
      <c r="AN19" s="93">
        <f>SUM(AN20:AN22)</f>
        <v>0</v>
      </c>
      <c r="AO19" s="93">
        <f>SUM(AO20:AO22)</f>
        <v>0</v>
      </c>
      <c r="AP19" s="93">
        <f>SUM(AP20:AP22)</f>
        <v>0</v>
      </c>
      <c r="AQ19" s="93">
        <f>SUM(AQ20:AQ22)</f>
        <v>0</v>
      </c>
      <c r="AR19" s="93"/>
      <c r="AS19" s="93">
        <f>SUM(AS20:AS22)</f>
        <v>6019</v>
      </c>
      <c r="AT19" s="93">
        <f>SUM(AT20:AT22)</f>
        <v>159.1</v>
      </c>
      <c r="AU19" s="93">
        <f>SUM(AU20:AU22)</f>
        <v>0</v>
      </c>
      <c r="AV19" s="93">
        <f>SUM(AV20:AV22)</f>
        <v>0</v>
      </c>
      <c r="AW19" s="178">
        <f t="shared" ref="AW19:AW35" si="10">SUM(AZ19:BE19)</f>
        <v>6019</v>
      </c>
      <c r="AX19" s="178"/>
      <c r="AY19" s="178"/>
      <c r="AZ19" s="93">
        <f>SUM(AZ20:AZ22)</f>
        <v>0</v>
      </c>
      <c r="BA19" s="93">
        <f>SUM(BA20:BA22)</f>
        <v>0</v>
      </c>
      <c r="BB19" s="93">
        <f>SUM(BB20:BB22)</f>
        <v>0</v>
      </c>
      <c r="BC19" s="93"/>
      <c r="BD19" s="93">
        <f>SUM(BD20:BD22)</f>
        <v>6019</v>
      </c>
      <c r="BE19" s="93">
        <f>SUM(BE20:BE22)</f>
        <v>0</v>
      </c>
      <c r="BF19" s="93">
        <f>SUM(BF20:BF22)</f>
        <v>0</v>
      </c>
      <c r="BG19" s="93">
        <f>SUM(BG20:BG22)</f>
        <v>0</v>
      </c>
      <c r="BH19" s="178">
        <f t="shared" ref="BH19:BH35" si="11">SUM(BK19:BP19)</f>
        <v>6019</v>
      </c>
      <c r="BI19" s="62">
        <f t="shared" ref="BI19:BR19" si="12">SUM(BI20:BI22)</f>
        <v>0</v>
      </c>
      <c r="BJ19" s="62">
        <f t="shared" si="12"/>
        <v>0</v>
      </c>
      <c r="BK19" s="62">
        <f t="shared" si="12"/>
        <v>0</v>
      </c>
      <c r="BL19" s="62">
        <f t="shared" si="12"/>
        <v>0</v>
      </c>
      <c r="BM19" s="62">
        <f t="shared" si="12"/>
        <v>0</v>
      </c>
      <c r="BN19" s="62">
        <f t="shared" si="12"/>
        <v>0</v>
      </c>
      <c r="BO19" s="62">
        <f t="shared" si="12"/>
        <v>6019</v>
      </c>
      <c r="BP19" s="62">
        <f t="shared" si="12"/>
        <v>0</v>
      </c>
      <c r="BQ19" s="62">
        <f t="shared" si="12"/>
        <v>0</v>
      </c>
      <c r="BR19" s="62">
        <f t="shared" si="12"/>
        <v>0</v>
      </c>
    </row>
    <row r="20" spans="1:70" ht="63" customHeight="1" x14ac:dyDescent="0.2">
      <c r="A20" s="86" t="s">
        <v>351</v>
      </c>
      <c r="B20" s="8">
        <v>2601</v>
      </c>
      <c r="C20" s="21" t="s">
        <v>109</v>
      </c>
      <c r="D20" s="21" t="s">
        <v>150</v>
      </c>
      <c r="E20" s="21" t="s">
        <v>174</v>
      </c>
      <c r="F20" s="21" t="s">
        <v>181</v>
      </c>
      <c r="G20" s="21" t="s">
        <v>63</v>
      </c>
      <c r="H20" s="21" t="s">
        <v>182</v>
      </c>
      <c r="I20" s="21" t="s">
        <v>217</v>
      </c>
      <c r="J20" s="21" t="s">
        <v>218</v>
      </c>
      <c r="K20" s="21" t="s">
        <v>219</v>
      </c>
      <c r="L20" s="23" t="s">
        <v>144</v>
      </c>
      <c r="M20" s="23" t="s">
        <v>151</v>
      </c>
      <c r="N20" s="177">
        <f t="shared" ref="N20:N27" si="13">SUM(O20:Y20)</f>
        <v>1647.1</v>
      </c>
      <c r="O20" s="177"/>
      <c r="P20" s="177"/>
      <c r="Q20" s="177"/>
      <c r="R20" s="177"/>
      <c r="S20" s="177"/>
      <c r="T20" s="177"/>
      <c r="U20" s="177"/>
      <c r="V20" s="177">
        <f>1470.8</f>
        <v>1470.8</v>
      </c>
      <c r="W20" s="177">
        <v>176.3</v>
      </c>
      <c r="X20" s="177"/>
      <c r="Y20" s="177"/>
      <c r="Z20" s="177">
        <f t="shared" ref="Z20:Z27" si="14">SUM(AA20:AK20)</f>
        <v>1582.8999999999999</v>
      </c>
      <c r="AA20" s="177"/>
      <c r="AB20" s="177"/>
      <c r="AC20" s="177"/>
      <c r="AD20" s="177"/>
      <c r="AE20" s="177"/>
      <c r="AF20" s="177"/>
      <c r="AG20" s="177"/>
      <c r="AH20" s="177">
        <f>1426.3</f>
        <v>1426.3</v>
      </c>
      <c r="AI20" s="177">
        <v>156.6</v>
      </c>
      <c r="AJ20" s="177"/>
      <c r="AK20" s="177"/>
      <c r="AL20" s="177">
        <f>SUM(AO20:AT20)</f>
        <v>1712.1</v>
      </c>
      <c r="AM20" s="177"/>
      <c r="AN20" s="177"/>
      <c r="AO20" s="177"/>
      <c r="AP20" s="177"/>
      <c r="AQ20" s="177"/>
      <c r="AR20" s="177"/>
      <c r="AS20" s="177">
        <v>1553</v>
      </c>
      <c r="AT20" s="177">
        <v>159.1</v>
      </c>
      <c r="AU20" s="177"/>
      <c r="AV20" s="177"/>
      <c r="AW20" s="177">
        <f t="shared" si="10"/>
        <v>1553</v>
      </c>
      <c r="AX20" s="177"/>
      <c r="AY20" s="177"/>
      <c r="AZ20" s="177"/>
      <c r="BA20" s="177"/>
      <c r="BB20" s="177"/>
      <c r="BC20" s="177"/>
      <c r="BD20" s="177">
        <v>1553</v>
      </c>
      <c r="BE20" s="177">
        <v>0</v>
      </c>
      <c r="BF20" s="177"/>
      <c r="BG20" s="177"/>
      <c r="BH20" s="177">
        <f t="shared" si="11"/>
        <v>1553</v>
      </c>
      <c r="BI20" s="11"/>
      <c r="BJ20" s="11"/>
      <c r="BK20" s="11"/>
      <c r="BL20" s="11"/>
      <c r="BM20" s="11"/>
      <c r="BN20" s="11"/>
      <c r="BO20" s="177">
        <v>1553</v>
      </c>
      <c r="BP20" s="11">
        <v>0</v>
      </c>
      <c r="BQ20" s="11"/>
      <c r="BR20" s="11"/>
    </row>
    <row r="21" spans="1:70" ht="72.75" customHeight="1" x14ac:dyDescent="0.2">
      <c r="A21" s="86" t="s">
        <v>352</v>
      </c>
      <c r="B21" s="8">
        <v>2602</v>
      </c>
      <c r="C21" s="21"/>
      <c r="D21" s="21"/>
      <c r="E21" s="21"/>
      <c r="F21" s="21"/>
      <c r="G21" s="21"/>
      <c r="H21" s="21"/>
      <c r="I21" s="21"/>
      <c r="J21" s="21"/>
      <c r="K21" s="21"/>
      <c r="L21" s="23"/>
      <c r="M21" s="23"/>
      <c r="N21" s="177">
        <f t="shared" si="13"/>
        <v>4167.3</v>
      </c>
      <c r="O21" s="177"/>
      <c r="P21" s="177"/>
      <c r="Q21" s="177"/>
      <c r="R21" s="177"/>
      <c r="S21" s="177"/>
      <c r="T21" s="177"/>
      <c r="U21" s="177"/>
      <c r="V21" s="177">
        <f>4167.3</f>
        <v>4167.3</v>
      </c>
      <c r="W21" s="177"/>
      <c r="X21" s="177"/>
      <c r="Y21" s="177"/>
      <c r="Z21" s="177">
        <f t="shared" si="14"/>
        <v>4123.3999999999996</v>
      </c>
      <c r="AA21" s="177"/>
      <c r="AB21" s="177"/>
      <c r="AC21" s="177"/>
      <c r="AD21" s="177"/>
      <c r="AE21" s="177"/>
      <c r="AF21" s="177"/>
      <c r="AG21" s="177"/>
      <c r="AH21" s="177">
        <f>4123.4</f>
        <v>4123.3999999999996</v>
      </c>
      <c r="AI21" s="177"/>
      <c r="AJ21" s="177"/>
      <c r="AK21" s="177"/>
      <c r="AL21" s="177">
        <f>SUM(AO21:AT21)</f>
        <v>4466</v>
      </c>
      <c r="AM21" s="177"/>
      <c r="AN21" s="177"/>
      <c r="AO21" s="177"/>
      <c r="AP21" s="177"/>
      <c r="AQ21" s="177"/>
      <c r="AR21" s="177"/>
      <c r="AS21" s="177">
        <v>4466</v>
      </c>
      <c r="AT21" s="177"/>
      <c r="AU21" s="177"/>
      <c r="AV21" s="177"/>
      <c r="AW21" s="177">
        <f t="shared" si="10"/>
        <v>4466</v>
      </c>
      <c r="AX21" s="177"/>
      <c r="AY21" s="177"/>
      <c r="AZ21" s="177"/>
      <c r="BA21" s="177"/>
      <c r="BB21" s="177"/>
      <c r="BC21" s="177"/>
      <c r="BD21" s="177">
        <v>4466</v>
      </c>
      <c r="BE21" s="177"/>
      <c r="BF21" s="177"/>
      <c r="BG21" s="177"/>
      <c r="BH21" s="177">
        <f t="shared" si="11"/>
        <v>4466</v>
      </c>
      <c r="BI21" s="11"/>
      <c r="BJ21" s="11"/>
      <c r="BK21" s="11"/>
      <c r="BL21" s="11"/>
      <c r="BM21" s="11"/>
      <c r="BN21" s="11"/>
      <c r="BO21" s="177">
        <v>4466</v>
      </c>
      <c r="BP21" s="11">
        <v>0</v>
      </c>
      <c r="BQ21" s="11"/>
      <c r="BR21" s="11"/>
    </row>
    <row r="22" spans="1:70" ht="123.75" x14ac:dyDescent="0.2">
      <c r="A22" s="86" t="s">
        <v>356</v>
      </c>
      <c r="B22" s="74">
        <v>2619</v>
      </c>
      <c r="C22" s="21" t="s">
        <v>113</v>
      </c>
      <c r="D22" s="21" t="s">
        <v>114</v>
      </c>
      <c r="E22" s="21" t="s">
        <v>177</v>
      </c>
      <c r="F22" s="41"/>
      <c r="G22" s="41"/>
      <c r="H22" s="41"/>
      <c r="I22" s="41"/>
      <c r="J22" s="41"/>
      <c r="K22" s="41"/>
      <c r="L22" s="23" t="s">
        <v>20</v>
      </c>
      <c r="M22" s="24" t="s">
        <v>139</v>
      </c>
      <c r="N22" s="177">
        <f t="shared" si="13"/>
        <v>22</v>
      </c>
      <c r="O22" s="177"/>
      <c r="P22" s="177"/>
      <c r="Q22" s="177"/>
      <c r="R22" s="177"/>
      <c r="S22" s="177"/>
      <c r="T22" s="177"/>
      <c r="U22" s="177"/>
      <c r="V22" s="177">
        <v>22</v>
      </c>
      <c r="W22" s="177"/>
      <c r="X22" s="177"/>
      <c r="Y22" s="177"/>
      <c r="Z22" s="177">
        <f t="shared" si="14"/>
        <v>4.7</v>
      </c>
      <c r="AA22" s="177"/>
      <c r="AB22" s="177"/>
      <c r="AC22" s="177"/>
      <c r="AD22" s="177"/>
      <c r="AE22" s="177"/>
      <c r="AF22" s="177"/>
      <c r="AG22" s="177"/>
      <c r="AH22" s="177">
        <v>4.7</v>
      </c>
      <c r="AI22" s="177"/>
      <c r="AJ22" s="177"/>
      <c r="AK22" s="177"/>
      <c r="AL22" s="177">
        <f>SUM(AO22:AT22)</f>
        <v>0</v>
      </c>
      <c r="AM22" s="177"/>
      <c r="AN22" s="177"/>
      <c r="AO22" s="177"/>
      <c r="AP22" s="177"/>
      <c r="AQ22" s="177"/>
      <c r="AR22" s="177"/>
      <c r="AS22" s="177">
        <v>0</v>
      </c>
      <c r="AT22" s="177"/>
      <c r="AU22" s="177"/>
      <c r="AV22" s="177"/>
      <c r="AW22" s="177">
        <f t="shared" si="10"/>
        <v>0</v>
      </c>
      <c r="AX22" s="177"/>
      <c r="AY22" s="177"/>
      <c r="AZ22" s="177"/>
      <c r="BA22" s="177"/>
      <c r="BB22" s="177"/>
      <c r="BC22" s="177"/>
      <c r="BD22" s="177">
        <v>0</v>
      </c>
      <c r="BE22" s="177"/>
      <c r="BF22" s="177"/>
      <c r="BG22" s="177"/>
      <c r="BH22" s="177">
        <f t="shared" si="11"/>
        <v>0</v>
      </c>
      <c r="BI22" s="11"/>
      <c r="BJ22" s="11"/>
      <c r="BK22" s="11"/>
      <c r="BL22" s="11"/>
      <c r="BM22" s="11"/>
      <c r="BN22" s="11"/>
      <c r="BO22" s="11">
        <v>0</v>
      </c>
      <c r="BP22" s="11"/>
      <c r="BQ22" s="11"/>
      <c r="BR22" s="11"/>
    </row>
    <row r="23" spans="1:70" ht="73.5" x14ac:dyDescent="0.2">
      <c r="A23" s="60" t="s">
        <v>358</v>
      </c>
      <c r="B23" s="61" t="s">
        <v>357</v>
      </c>
      <c r="C23" s="66" t="s">
        <v>10</v>
      </c>
      <c r="D23" s="67" t="s">
        <v>10</v>
      </c>
      <c r="E23" s="67" t="s">
        <v>10</v>
      </c>
      <c r="F23" s="66" t="s">
        <v>10</v>
      </c>
      <c r="G23" s="67" t="s">
        <v>10</v>
      </c>
      <c r="H23" s="67" t="s">
        <v>10</v>
      </c>
      <c r="I23" s="66" t="s">
        <v>10</v>
      </c>
      <c r="J23" s="67" t="s">
        <v>10</v>
      </c>
      <c r="K23" s="67" t="s">
        <v>10</v>
      </c>
      <c r="L23" s="64" t="s">
        <v>10</v>
      </c>
      <c r="M23" s="64" t="s">
        <v>10</v>
      </c>
      <c r="N23" s="93">
        <f t="shared" si="13"/>
        <v>0</v>
      </c>
      <c r="O23" s="93"/>
      <c r="P23" s="93"/>
      <c r="Q23" s="93">
        <f>Q24+Q25+Q26+Q27</f>
        <v>0</v>
      </c>
      <c r="R23" s="93">
        <f>R24+R25+R26+R27</f>
        <v>0</v>
      </c>
      <c r="S23" s="93">
        <f>S24+S25+S26+S27</f>
        <v>0</v>
      </c>
      <c r="T23" s="93">
        <f>T24+T25+T26+T27</f>
        <v>0</v>
      </c>
      <c r="U23" s="93"/>
      <c r="V23" s="93">
        <f>V24+V25+V26+V27</f>
        <v>0</v>
      </c>
      <c r="W23" s="93">
        <f>W24+W25+W26+W27</f>
        <v>0</v>
      </c>
      <c r="X23" s="93">
        <f>X24+X25+X26+X27</f>
        <v>0</v>
      </c>
      <c r="Y23" s="93">
        <f>Y24+Y25+Y26+Y27</f>
        <v>0</v>
      </c>
      <c r="Z23" s="93">
        <f t="shared" si="14"/>
        <v>0</v>
      </c>
      <c r="AA23" s="93"/>
      <c r="AB23" s="93"/>
      <c r="AC23" s="93">
        <f>AC24+AC25+AC26+AC27</f>
        <v>0</v>
      </c>
      <c r="AD23" s="93">
        <f>AD24+AD25+AD26+AD27</f>
        <v>0</v>
      </c>
      <c r="AE23" s="93">
        <f>AE24+AE25+AE26+AE27</f>
        <v>0</v>
      </c>
      <c r="AF23" s="93">
        <f>AF24+AF25+AF26+AF27</f>
        <v>0</v>
      </c>
      <c r="AG23" s="93"/>
      <c r="AH23" s="93">
        <f>AH24+AH25+AH26+AH27</f>
        <v>0</v>
      </c>
      <c r="AI23" s="93">
        <f>AI24+AI25+AI26+AI27</f>
        <v>0</v>
      </c>
      <c r="AJ23" s="93">
        <f>AJ24+AJ25+AJ26+AJ27</f>
        <v>0</v>
      </c>
      <c r="AK23" s="93">
        <f>AK24+AK25+AK26+AK27</f>
        <v>0</v>
      </c>
      <c r="AL23" s="93">
        <f>SUM(AO23:AT23)</f>
        <v>0</v>
      </c>
      <c r="AM23" s="93"/>
      <c r="AN23" s="93">
        <f>AN24+AN25+AN26+AN27</f>
        <v>0</v>
      </c>
      <c r="AO23" s="93">
        <f>AO24+AO25+AO26+AO27</f>
        <v>0</v>
      </c>
      <c r="AP23" s="93">
        <f>AP24+AP25+AP26+AP27</f>
        <v>0</v>
      </c>
      <c r="AQ23" s="93">
        <f>AQ24+AQ25+AQ26+AQ27</f>
        <v>0</v>
      </c>
      <c r="AR23" s="93"/>
      <c r="AS23" s="93">
        <f>AS24+AS25+AS26+AS27</f>
        <v>0</v>
      </c>
      <c r="AT23" s="93">
        <f>AT24+AT25+AT26+AT27</f>
        <v>0</v>
      </c>
      <c r="AU23" s="93">
        <f>AU24+AU25+AU26+AU27</f>
        <v>0</v>
      </c>
      <c r="AV23" s="93">
        <f>AV24+AV25+AV26+AV27</f>
        <v>0</v>
      </c>
      <c r="AW23" s="93">
        <f t="shared" si="10"/>
        <v>0</v>
      </c>
      <c r="AX23" s="93"/>
      <c r="AY23" s="93"/>
      <c r="AZ23" s="93">
        <f>AZ24+AZ25+AZ26+AZ27</f>
        <v>0</v>
      </c>
      <c r="BA23" s="93">
        <f>BA24+BA25+BA26+BA27</f>
        <v>0</v>
      </c>
      <c r="BB23" s="93">
        <f>BB24+BB25+BB26+BB27</f>
        <v>0</v>
      </c>
      <c r="BC23" s="93"/>
      <c r="BD23" s="93">
        <f>BD24+BD25+BD26+BD27</f>
        <v>0</v>
      </c>
      <c r="BE23" s="93">
        <f>BE24+BE25+BE26+BE27</f>
        <v>0</v>
      </c>
      <c r="BF23" s="93">
        <f>BF24+BF25+BF26+BF27</f>
        <v>0</v>
      </c>
      <c r="BG23" s="93">
        <f>BG24+BG25+BG26+BG27</f>
        <v>0</v>
      </c>
      <c r="BH23" s="93">
        <f t="shared" si="11"/>
        <v>0</v>
      </c>
      <c r="BI23" s="62">
        <f t="shared" ref="BI23:BR23" si="15">BI24+BI25+BI26+BI27</f>
        <v>0</v>
      </c>
      <c r="BJ23" s="62">
        <f t="shared" si="15"/>
        <v>0</v>
      </c>
      <c r="BK23" s="62">
        <f t="shared" si="15"/>
        <v>0</v>
      </c>
      <c r="BL23" s="62">
        <f t="shared" si="15"/>
        <v>0</v>
      </c>
      <c r="BM23" s="62">
        <f t="shared" si="15"/>
        <v>0</v>
      </c>
      <c r="BN23" s="62">
        <f t="shared" si="15"/>
        <v>0</v>
      </c>
      <c r="BO23" s="62">
        <f t="shared" si="15"/>
        <v>0</v>
      </c>
      <c r="BP23" s="62">
        <f t="shared" si="15"/>
        <v>0</v>
      </c>
      <c r="BQ23" s="62">
        <f t="shared" si="15"/>
        <v>0</v>
      </c>
      <c r="BR23" s="62">
        <f t="shared" si="15"/>
        <v>0</v>
      </c>
    </row>
    <row r="24" spans="1:70" ht="22.5" x14ac:dyDescent="0.2">
      <c r="A24" s="65" t="s">
        <v>359</v>
      </c>
      <c r="B24" s="69">
        <v>2701</v>
      </c>
      <c r="C24" s="66" t="s">
        <v>10</v>
      </c>
      <c r="D24" s="67" t="s">
        <v>10</v>
      </c>
      <c r="E24" s="67" t="s">
        <v>10</v>
      </c>
      <c r="F24" s="66" t="s">
        <v>10</v>
      </c>
      <c r="G24" s="67" t="s">
        <v>10</v>
      </c>
      <c r="H24" s="67" t="s">
        <v>10</v>
      </c>
      <c r="I24" s="66" t="s">
        <v>10</v>
      </c>
      <c r="J24" s="67" t="s">
        <v>10</v>
      </c>
      <c r="K24" s="67" t="s">
        <v>10</v>
      </c>
      <c r="L24" s="64" t="s">
        <v>10</v>
      </c>
      <c r="M24" s="64" t="s">
        <v>10</v>
      </c>
      <c r="N24" s="93">
        <f t="shared" si="13"/>
        <v>0</v>
      </c>
      <c r="O24" s="93"/>
      <c r="P24" s="93"/>
      <c r="Q24" s="93"/>
      <c r="R24" s="93"/>
      <c r="S24" s="93"/>
      <c r="T24" s="93"/>
      <c r="U24" s="93"/>
      <c r="V24" s="93"/>
      <c r="W24" s="93"/>
      <c r="X24" s="93"/>
      <c r="Y24" s="93"/>
      <c r="Z24" s="93">
        <f t="shared" si="14"/>
        <v>0</v>
      </c>
      <c r="AA24" s="93"/>
      <c r="AB24" s="93"/>
      <c r="AC24" s="93"/>
      <c r="AD24" s="93"/>
      <c r="AE24" s="93"/>
      <c r="AF24" s="93"/>
      <c r="AG24" s="93"/>
      <c r="AH24" s="93"/>
      <c r="AI24" s="93"/>
      <c r="AJ24" s="93"/>
      <c r="AK24" s="93"/>
      <c r="AL24" s="93">
        <f t="shared" ref="AL24:AL29" si="16">SUM(AO24:AT24)</f>
        <v>0</v>
      </c>
      <c r="AM24" s="93"/>
      <c r="AN24" s="93"/>
      <c r="AO24" s="93"/>
      <c r="AP24" s="93"/>
      <c r="AQ24" s="93"/>
      <c r="AR24" s="93"/>
      <c r="AS24" s="93"/>
      <c r="AT24" s="93"/>
      <c r="AU24" s="93"/>
      <c r="AV24" s="93"/>
      <c r="AW24" s="93">
        <f t="shared" si="10"/>
        <v>0</v>
      </c>
      <c r="AX24" s="93"/>
      <c r="AY24" s="93"/>
      <c r="AZ24" s="93"/>
      <c r="BA24" s="93"/>
      <c r="BB24" s="93"/>
      <c r="BC24" s="93"/>
      <c r="BD24" s="93"/>
      <c r="BE24" s="93"/>
      <c r="BF24" s="93"/>
      <c r="BG24" s="93"/>
      <c r="BH24" s="93">
        <f t="shared" si="11"/>
        <v>0</v>
      </c>
      <c r="BI24" s="62"/>
      <c r="BJ24" s="62"/>
      <c r="BK24" s="62"/>
      <c r="BL24" s="62"/>
      <c r="BM24" s="62"/>
      <c r="BN24" s="62"/>
      <c r="BO24" s="62"/>
      <c r="BP24" s="62"/>
      <c r="BQ24" s="62"/>
      <c r="BR24" s="62"/>
    </row>
    <row r="25" spans="1:70" ht="45" x14ac:dyDescent="0.2">
      <c r="A25" s="65" t="s">
        <v>360</v>
      </c>
      <c r="B25" s="69">
        <v>2800</v>
      </c>
      <c r="C25" s="66" t="s">
        <v>10</v>
      </c>
      <c r="D25" s="67" t="s">
        <v>10</v>
      </c>
      <c r="E25" s="67" t="s">
        <v>10</v>
      </c>
      <c r="F25" s="66" t="s">
        <v>10</v>
      </c>
      <c r="G25" s="67" t="s">
        <v>10</v>
      </c>
      <c r="H25" s="67" t="s">
        <v>10</v>
      </c>
      <c r="I25" s="66" t="s">
        <v>10</v>
      </c>
      <c r="J25" s="67" t="s">
        <v>10</v>
      </c>
      <c r="K25" s="67" t="s">
        <v>10</v>
      </c>
      <c r="L25" s="64" t="s">
        <v>10</v>
      </c>
      <c r="M25" s="64" t="s">
        <v>10</v>
      </c>
      <c r="N25" s="93">
        <f t="shared" si="13"/>
        <v>0</v>
      </c>
      <c r="O25" s="93"/>
      <c r="P25" s="93"/>
      <c r="Q25" s="93"/>
      <c r="R25" s="93"/>
      <c r="S25" s="93"/>
      <c r="T25" s="93"/>
      <c r="U25" s="93"/>
      <c r="V25" s="93"/>
      <c r="W25" s="93"/>
      <c r="X25" s="93"/>
      <c r="Y25" s="93"/>
      <c r="Z25" s="93">
        <f t="shared" si="14"/>
        <v>0</v>
      </c>
      <c r="AA25" s="93"/>
      <c r="AB25" s="93"/>
      <c r="AC25" s="93"/>
      <c r="AD25" s="93"/>
      <c r="AE25" s="93"/>
      <c r="AF25" s="93"/>
      <c r="AG25" s="93"/>
      <c r="AH25" s="93"/>
      <c r="AI25" s="93"/>
      <c r="AJ25" s="93"/>
      <c r="AK25" s="93"/>
      <c r="AL25" s="93">
        <f t="shared" si="16"/>
        <v>0</v>
      </c>
      <c r="AM25" s="93"/>
      <c r="AN25" s="93"/>
      <c r="AO25" s="93"/>
      <c r="AP25" s="93"/>
      <c r="AQ25" s="93"/>
      <c r="AR25" s="93"/>
      <c r="AS25" s="93"/>
      <c r="AT25" s="93"/>
      <c r="AU25" s="93"/>
      <c r="AV25" s="93"/>
      <c r="AW25" s="93">
        <f t="shared" si="10"/>
        <v>0</v>
      </c>
      <c r="AX25" s="93"/>
      <c r="AY25" s="93"/>
      <c r="AZ25" s="93"/>
      <c r="BA25" s="93"/>
      <c r="BB25" s="93"/>
      <c r="BC25" s="93"/>
      <c r="BD25" s="93"/>
      <c r="BE25" s="93"/>
      <c r="BF25" s="93"/>
      <c r="BG25" s="93"/>
      <c r="BH25" s="93">
        <f t="shared" si="11"/>
        <v>0</v>
      </c>
      <c r="BI25" s="62"/>
      <c r="BJ25" s="62"/>
      <c r="BK25" s="62"/>
      <c r="BL25" s="62"/>
      <c r="BM25" s="62"/>
      <c r="BN25" s="62"/>
      <c r="BO25" s="62"/>
      <c r="BP25" s="62"/>
      <c r="BQ25" s="62"/>
      <c r="BR25" s="62"/>
    </row>
    <row r="26" spans="1:70" ht="67.5" x14ac:dyDescent="0.2">
      <c r="A26" s="65" t="s">
        <v>361</v>
      </c>
      <c r="B26" s="69">
        <v>2900</v>
      </c>
      <c r="C26" s="66" t="s">
        <v>10</v>
      </c>
      <c r="D26" s="67" t="s">
        <v>10</v>
      </c>
      <c r="E26" s="67" t="s">
        <v>10</v>
      </c>
      <c r="F26" s="66" t="s">
        <v>10</v>
      </c>
      <c r="G26" s="67" t="s">
        <v>10</v>
      </c>
      <c r="H26" s="67" t="s">
        <v>10</v>
      </c>
      <c r="I26" s="66" t="s">
        <v>10</v>
      </c>
      <c r="J26" s="67" t="s">
        <v>10</v>
      </c>
      <c r="K26" s="67" t="s">
        <v>10</v>
      </c>
      <c r="L26" s="64" t="s">
        <v>10</v>
      </c>
      <c r="M26" s="64" t="s">
        <v>10</v>
      </c>
      <c r="N26" s="93">
        <f t="shared" si="13"/>
        <v>0</v>
      </c>
      <c r="O26" s="93"/>
      <c r="P26" s="93"/>
      <c r="Q26" s="93"/>
      <c r="R26" s="93"/>
      <c r="S26" s="93"/>
      <c r="T26" s="93"/>
      <c r="U26" s="93"/>
      <c r="V26" s="93"/>
      <c r="W26" s="93"/>
      <c r="X26" s="93"/>
      <c r="Y26" s="93"/>
      <c r="Z26" s="93">
        <f t="shared" si="14"/>
        <v>0</v>
      </c>
      <c r="AA26" s="93"/>
      <c r="AB26" s="93"/>
      <c r="AC26" s="93"/>
      <c r="AD26" s="93"/>
      <c r="AE26" s="93"/>
      <c r="AF26" s="93"/>
      <c r="AG26" s="93"/>
      <c r="AH26" s="93"/>
      <c r="AI26" s="93"/>
      <c r="AJ26" s="93"/>
      <c r="AK26" s="93"/>
      <c r="AL26" s="93">
        <f t="shared" si="16"/>
        <v>0</v>
      </c>
      <c r="AM26" s="93"/>
      <c r="AN26" s="93"/>
      <c r="AO26" s="93"/>
      <c r="AP26" s="93"/>
      <c r="AQ26" s="93"/>
      <c r="AR26" s="93"/>
      <c r="AS26" s="93"/>
      <c r="AT26" s="93"/>
      <c r="AU26" s="93"/>
      <c r="AV26" s="93"/>
      <c r="AW26" s="93">
        <f t="shared" si="10"/>
        <v>0</v>
      </c>
      <c r="AX26" s="93"/>
      <c r="AY26" s="93"/>
      <c r="AZ26" s="93"/>
      <c r="BA26" s="93"/>
      <c r="BB26" s="93"/>
      <c r="BC26" s="93"/>
      <c r="BD26" s="93"/>
      <c r="BE26" s="93"/>
      <c r="BF26" s="93"/>
      <c r="BG26" s="93"/>
      <c r="BH26" s="93">
        <f t="shared" si="11"/>
        <v>0</v>
      </c>
      <c r="BI26" s="62"/>
      <c r="BJ26" s="62"/>
      <c r="BK26" s="62"/>
      <c r="BL26" s="62"/>
      <c r="BM26" s="62"/>
      <c r="BN26" s="62"/>
      <c r="BO26" s="62"/>
      <c r="BP26" s="62"/>
      <c r="BQ26" s="62"/>
      <c r="BR26" s="62"/>
    </row>
    <row r="27" spans="1:70" ht="67.5" x14ac:dyDescent="0.2">
      <c r="A27" s="65" t="s">
        <v>363</v>
      </c>
      <c r="B27" s="69">
        <v>3000</v>
      </c>
      <c r="C27" s="66" t="s">
        <v>10</v>
      </c>
      <c r="D27" s="67" t="s">
        <v>10</v>
      </c>
      <c r="E27" s="67" t="s">
        <v>10</v>
      </c>
      <c r="F27" s="66" t="s">
        <v>10</v>
      </c>
      <c r="G27" s="67" t="s">
        <v>10</v>
      </c>
      <c r="H27" s="67" t="s">
        <v>10</v>
      </c>
      <c r="I27" s="66" t="s">
        <v>10</v>
      </c>
      <c r="J27" s="67" t="s">
        <v>10</v>
      </c>
      <c r="K27" s="67" t="s">
        <v>10</v>
      </c>
      <c r="L27" s="64" t="s">
        <v>10</v>
      </c>
      <c r="M27" s="64" t="s">
        <v>10</v>
      </c>
      <c r="N27" s="93">
        <f t="shared" si="13"/>
        <v>0</v>
      </c>
      <c r="O27" s="93"/>
      <c r="P27" s="93"/>
      <c r="Q27" s="93"/>
      <c r="R27" s="93"/>
      <c r="S27" s="93"/>
      <c r="T27" s="93"/>
      <c r="U27" s="93"/>
      <c r="V27" s="93"/>
      <c r="W27" s="93"/>
      <c r="X27" s="93"/>
      <c r="Y27" s="93"/>
      <c r="Z27" s="93">
        <f t="shared" si="14"/>
        <v>0</v>
      </c>
      <c r="AA27" s="93"/>
      <c r="AB27" s="93"/>
      <c r="AC27" s="93"/>
      <c r="AD27" s="93"/>
      <c r="AE27" s="93"/>
      <c r="AF27" s="93"/>
      <c r="AG27" s="93"/>
      <c r="AH27" s="93"/>
      <c r="AI27" s="93"/>
      <c r="AJ27" s="93"/>
      <c r="AK27" s="93"/>
      <c r="AL27" s="93">
        <f t="shared" si="16"/>
        <v>0</v>
      </c>
      <c r="AM27" s="93"/>
      <c r="AN27" s="93"/>
      <c r="AO27" s="93"/>
      <c r="AP27" s="93"/>
      <c r="AQ27" s="93"/>
      <c r="AR27" s="93"/>
      <c r="AS27" s="93"/>
      <c r="AT27" s="93"/>
      <c r="AU27" s="93"/>
      <c r="AV27" s="93"/>
      <c r="AW27" s="93">
        <f t="shared" si="10"/>
        <v>0</v>
      </c>
      <c r="AX27" s="93"/>
      <c r="AY27" s="93"/>
      <c r="AZ27" s="93"/>
      <c r="BA27" s="93"/>
      <c r="BB27" s="93"/>
      <c r="BC27" s="93"/>
      <c r="BD27" s="93"/>
      <c r="BE27" s="93"/>
      <c r="BF27" s="93"/>
      <c r="BG27" s="93"/>
      <c r="BH27" s="93">
        <f t="shared" si="11"/>
        <v>0</v>
      </c>
      <c r="BI27" s="62"/>
      <c r="BJ27" s="62"/>
      <c r="BK27" s="62"/>
      <c r="BL27" s="62"/>
      <c r="BM27" s="62"/>
      <c r="BN27" s="62"/>
      <c r="BO27" s="62"/>
      <c r="BP27" s="62"/>
      <c r="BQ27" s="62"/>
      <c r="BR27" s="62"/>
    </row>
    <row r="28" spans="1:70" ht="94.5" x14ac:dyDescent="0.2">
      <c r="A28" s="60" t="s">
        <v>364</v>
      </c>
      <c r="B28" s="122">
        <v>3100</v>
      </c>
      <c r="C28" s="66" t="s">
        <v>10</v>
      </c>
      <c r="D28" s="67" t="s">
        <v>10</v>
      </c>
      <c r="E28" s="67" t="s">
        <v>10</v>
      </c>
      <c r="F28" s="66" t="s">
        <v>10</v>
      </c>
      <c r="G28" s="67" t="s">
        <v>10</v>
      </c>
      <c r="H28" s="67" t="s">
        <v>10</v>
      </c>
      <c r="I28" s="66" t="s">
        <v>10</v>
      </c>
      <c r="J28" s="67" t="s">
        <v>10</v>
      </c>
      <c r="K28" s="67" t="s">
        <v>10</v>
      </c>
      <c r="L28" s="64" t="s">
        <v>10</v>
      </c>
      <c r="M28" s="64" t="s">
        <v>10</v>
      </c>
      <c r="N28" s="93">
        <f>SUM(N29+N30+N36)</f>
        <v>29693.999999999996</v>
      </c>
      <c r="O28" s="93"/>
      <c r="P28" s="93"/>
      <c r="Q28" s="93">
        <f t="shared" ref="Q28:Y28" si="17">Q29+Q30</f>
        <v>0</v>
      </c>
      <c r="R28" s="93">
        <f t="shared" si="17"/>
        <v>0</v>
      </c>
      <c r="S28" s="93">
        <f t="shared" si="17"/>
        <v>0</v>
      </c>
      <c r="T28" s="93">
        <f t="shared" si="17"/>
        <v>0</v>
      </c>
      <c r="U28" s="93">
        <f t="shared" si="17"/>
        <v>4025.6</v>
      </c>
      <c r="V28" s="93">
        <f t="shared" si="17"/>
        <v>0</v>
      </c>
      <c r="W28" s="93">
        <f t="shared" si="17"/>
        <v>22542.799999999999</v>
      </c>
      <c r="X28" s="93">
        <f t="shared" si="17"/>
        <v>3125.6</v>
      </c>
      <c r="Y28" s="93">
        <f t="shared" si="17"/>
        <v>0</v>
      </c>
      <c r="Z28" s="93">
        <f>SUM(Z29+Z30+Z36)</f>
        <v>26582.899999999998</v>
      </c>
      <c r="AA28" s="93"/>
      <c r="AB28" s="93"/>
      <c r="AC28" s="93">
        <f t="shared" ref="AC28:AK28" si="18">AC29+AC30</f>
        <v>0</v>
      </c>
      <c r="AD28" s="93">
        <f t="shared" si="18"/>
        <v>0</v>
      </c>
      <c r="AE28" s="93">
        <f t="shared" si="18"/>
        <v>0</v>
      </c>
      <c r="AF28" s="93">
        <f t="shared" si="18"/>
        <v>0</v>
      </c>
      <c r="AG28" s="93">
        <f t="shared" si="18"/>
        <v>4014.1</v>
      </c>
      <c r="AH28" s="93">
        <f t="shared" si="18"/>
        <v>0</v>
      </c>
      <c r="AI28" s="93">
        <f t="shared" si="18"/>
        <v>19767.3</v>
      </c>
      <c r="AJ28" s="93">
        <f t="shared" si="18"/>
        <v>2801.5</v>
      </c>
      <c r="AK28" s="93">
        <f t="shared" si="18"/>
        <v>0</v>
      </c>
      <c r="AL28" s="93">
        <f>SUM(AO28:AT28)</f>
        <v>27515.199999999997</v>
      </c>
      <c r="AM28" s="93"/>
      <c r="AN28" s="93">
        <f t="shared" ref="AN28:AV28" si="19">AN29+AN30</f>
        <v>0</v>
      </c>
      <c r="AO28" s="93">
        <f t="shared" si="19"/>
        <v>0</v>
      </c>
      <c r="AP28" s="93">
        <f t="shared" si="19"/>
        <v>0</v>
      </c>
      <c r="AQ28" s="93">
        <f t="shared" si="19"/>
        <v>0</v>
      </c>
      <c r="AR28" s="93">
        <f t="shared" si="19"/>
        <v>4420.3999999999996</v>
      </c>
      <c r="AS28" s="93">
        <f t="shared" si="19"/>
        <v>0</v>
      </c>
      <c r="AT28" s="93">
        <f t="shared" si="19"/>
        <v>23094.799999999999</v>
      </c>
      <c r="AU28" s="93">
        <f t="shared" si="19"/>
        <v>5119.8999999999996</v>
      </c>
      <c r="AV28" s="93">
        <f t="shared" si="19"/>
        <v>0</v>
      </c>
      <c r="AW28" s="93">
        <f t="shared" si="10"/>
        <v>27720.600000000002</v>
      </c>
      <c r="AX28" s="93"/>
      <c r="AY28" s="93"/>
      <c r="AZ28" s="93">
        <f t="shared" ref="AZ28:BG28" si="20">AZ29+AZ30</f>
        <v>0</v>
      </c>
      <c r="BA28" s="93">
        <f t="shared" si="20"/>
        <v>0</v>
      </c>
      <c r="BB28" s="93">
        <f t="shared" si="20"/>
        <v>0</v>
      </c>
      <c r="BC28" s="93">
        <f t="shared" si="20"/>
        <v>4663.7</v>
      </c>
      <c r="BD28" s="93">
        <f t="shared" si="20"/>
        <v>0</v>
      </c>
      <c r="BE28" s="93">
        <f t="shared" si="20"/>
        <v>23056.9</v>
      </c>
      <c r="BF28" s="93">
        <f t="shared" si="20"/>
        <v>3734.7</v>
      </c>
      <c r="BG28" s="93">
        <f t="shared" si="20"/>
        <v>0</v>
      </c>
      <c r="BH28" s="93">
        <f t="shared" si="11"/>
        <v>27914.2</v>
      </c>
      <c r="BI28" s="62">
        <f t="shared" ref="BI28:BR28" si="21">BI29+BI30</f>
        <v>0</v>
      </c>
      <c r="BJ28" s="62">
        <f t="shared" si="21"/>
        <v>0</v>
      </c>
      <c r="BK28" s="62">
        <f t="shared" si="21"/>
        <v>0</v>
      </c>
      <c r="BL28" s="62">
        <f t="shared" si="21"/>
        <v>0</v>
      </c>
      <c r="BM28" s="62">
        <f t="shared" si="21"/>
        <v>0</v>
      </c>
      <c r="BN28" s="62">
        <f t="shared" si="21"/>
        <v>5028.7</v>
      </c>
      <c r="BO28" s="62">
        <f t="shared" si="21"/>
        <v>0</v>
      </c>
      <c r="BP28" s="62">
        <f t="shared" si="21"/>
        <v>22885.5</v>
      </c>
      <c r="BQ28" s="62">
        <f t="shared" si="21"/>
        <v>3734.7</v>
      </c>
      <c r="BR28" s="62">
        <f t="shared" si="21"/>
        <v>0</v>
      </c>
    </row>
    <row r="29" spans="1:70" ht="22.5" x14ac:dyDescent="0.2">
      <c r="A29" s="65" t="s">
        <v>365</v>
      </c>
      <c r="B29" s="69">
        <v>3101</v>
      </c>
      <c r="C29" s="66" t="s">
        <v>10</v>
      </c>
      <c r="D29" s="67" t="s">
        <v>10</v>
      </c>
      <c r="E29" s="67" t="s">
        <v>10</v>
      </c>
      <c r="F29" s="66" t="s">
        <v>10</v>
      </c>
      <c r="G29" s="67" t="s">
        <v>10</v>
      </c>
      <c r="H29" s="67" t="s">
        <v>10</v>
      </c>
      <c r="I29" s="66" t="s">
        <v>10</v>
      </c>
      <c r="J29" s="67" t="s">
        <v>10</v>
      </c>
      <c r="K29" s="67" t="s">
        <v>10</v>
      </c>
      <c r="L29" s="64" t="s">
        <v>10</v>
      </c>
      <c r="M29" s="64" t="s">
        <v>10</v>
      </c>
      <c r="N29" s="93">
        <f>SUM(AL29:AM29)</f>
        <v>0</v>
      </c>
      <c r="O29" s="93"/>
      <c r="P29" s="93"/>
      <c r="Q29" s="93"/>
      <c r="R29" s="93"/>
      <c r="S29" s="93"/>
      <c r="T29" s="93"/>
      <c r="U29" s="93"/>
      <c r="V29" s="93"/>
      <c r="W29" s="93"/>
      <c r="X29" s="93"/>
      <c r="Y29" s="93"/>
      <c r="Z29" s="93">
        <f>SUM(AW29:AX29)</f>
        <v>0</v>
      </c>
      <c r="AA29" s="93"/>
      <c r="AB29" s="93"/>
      <c r="AC29" s="93"/>
      <c r="AD29" s="93"/>
      <c r="AE29" s="93"/>
      <c r="AF29" s="93"/>
      <c r="AG29" s="93"/>
      <c r="AH29" s="93"/>
      <c r="AI29" s="93"/>
      <c r="AJ29" s="93"/>
      <c r="AK29" s="93"/>
      <c r="AL29" s="93">
        <f t="shared" si="16"/>
        <v>0</v>
      </c>
      <c r="AM29" s="93"/>
      <c r="AN29" s="93"/>
      <c r="AO29" s="93"/>
      <c r="AP29" s="93"/>
      <c r="AQ29" s="93"/>
      <c r="AR29" s="93"/>
      <c r="AS29" s="93"/>
      <c r="AT29" s="93"/>
      <c r="AU29" s="93"/>
      <c r="AV29" s="93"/>
      <c r="AW29" s="93">
        <f t="shared" si="10"/>
        <v>0</v>
      </c>
      <c r="AX29" s="93"/>
      <c r="AY29" s="93"/>
      <c r="AZ29" s="93"/>
      <c r="BA29" s="93"/>
      <c r="BB29" s="93"/>
      <c r="BC29" s="93"/>
      <c r="BD29" s="93"/>
      <c r="BE29" s="93"/>
      <c r="BF29" s="93"/>
      <c r="BG29" s="93"/>
      <c r="BH29" s="93">
        <f t="shared" si="11"/>
        <v>0</v>
      </c>
      <c r="BI29" s="62"/>
      <c r="BJ29" s="62"/>
      <c r="BK29" s="62"/>
      <c r="BL29" s="62"/>
      <c r="BM29" s="62"/>
      <c r="BN29" s="62"/>
      <c r="BO29" s="62"/>
      <c r="BP29" s="62"/>
      <c r="BQ29" s="62"/>
      <c r="BR29" s="62"/>
    </row>
    <row r="30" spans="1:70" ht="22.5" x14ac:dyDescent="0.2">
      <c r="A30" s="65" t="s">
        <v>370</v>
      </c>
      <c r="B30" s="69">
        <v>3200</v>
      </c>
      <c r="C30" s="66"/>
      <c r="D30" s="66"/>
      <c r="E30" s="66"/>
      <c r="F30" s="66"/>
      <c r="G30" s="67"/>
      <c r="H30" s="71"/>
      <c r="I30" s="72"/>
      <c r="J30" s="72"/>
      <c r="K30" s="73"/>
      <c r="L30" s="64"/>
      <c r="M30" s="64"/>
      <c r="N30" s="93">
        <f>SUM(N31:N35)</f>
        <v>29693.999999999996</v>
      </c>
      <c r="O30" s="93"/>
      <c r="P30" s="93"/>
      <c r="Q30" s="93">
        <f t="shared" ref="Q30:Y30" si="22">SUM(Q31:Q35)</f>
        <v>0</v>
      </c>
      <c r="R30" s="93">
        <f t="shared" si="22"/>
        <v>0</v>
      </c>
      <c r="S30" s="93">
        <f t="shared" si="22"/>
        <v>0</v>
      </c>
      <c r="T30" s="93">
        <f t="shared" si="22"/>
        <v>0</v>
      </c>
      <c r="U30" s="93">
        <f t="shared" si="22"/>
        <v>4025.6</v>
      </c>
      <c r="V30" s="93">
        <f t="shared" si="22"/>
        <v>0</v>
      </c>
      <c r="W30" s="93">
        <f t="shared" si="22"/>
        <v>22542.799999999999</v>
      </c>
      <c r="X30" s="93">
        <f t="shared" si="22"/>
        <v>3125.6</v>
      </c>
      <c r="Y30" s="93">
        <f t="shared" si="22"/>
        <v>0</v>
      </c>
      <c r="Z30" s="93">
        <f>SUM(Z31:Z35)</f>
        <v>26582.899999999998</v>
      </c>
      <c r="AA30" s="93"/>
      <c r="AB30" s="93"/>
      <c r="AC30" s="93">
        <f t="shared" ref="AC30:AK30" si="23">SUM(AC31:AC35)</f>
        <v>0</v>
      </c>
      <c r="AD30" s="93">
        <f t="shared" si="23"/>
        <v>0</v>
      </c>
      <c r="AE30" s="93">
        <f t="shared" si="23"/>
        <v>0</v>
      </c>
      <c r="AF30" s="93">
        <f t="shared" si="23"/>
        <v>0</v>
      </c>
      <c r="AG30" s="93">
        <f t="shared" si="23"/>
        <v>4014.1</v>
      </c>
      <c r="AH30" s="93">
        <f t="shared" si="23"/>
        <v>0</v>
      </c>
      <c r="AI30" s="93">
        <f t="shared" si="23"/>
        <v>19767.3</v>
      </c>
      <c r="AJ30" s="93">
        <f t="shared" si="23"/>
        <v>2801.5</v>
      </c>
      <c r="AK30" s="93">
        <f t="shared" si="23"/>
        <v>0</v>
      </c>
      <c r="AL30" s="93">
        <f>SUM(AO30:AU30)</f>
        <v>32635.1</v>
      </c>
      <c r="AM30" s="93"/>
      <c r="AN30" s="93">
        <f t="shared" ref="AN30:AV30" si="24">SUM(AN31:AN35)</f>
        <v>0</v>
      </c>
      <c r="AO30" s="93">
        <f t="shared" si="24"/>
        <v>0</v>
      </c>
      <c r="AP30" s="93">
        <f t="shared" si="24"/>
        <v>0</v>
      </c>
      <c r="AQ30" s="93">
        <f t="shared" si="24"/>
        <v>0</v>
      </c>
      <c r="AR30" s="93">
        <f t="shared" si="24"/>
        <v>4420.3999999999996</v>
      </c>
      <c r="AS30" s="93">
        <f t="shared" si="24"/>
        <v>0</v>
      </c>
      <c r="AT30" s="93">
        <f t="shared" si="24"/>
        <v>23094.799999999999</v>
      </c>
      <c r="AU30" s="93">
        <f t="shared" si="24"/>
        <v>5119.8999999999996</v>
      </c>
      <c r="AV30" s="93">
        <f t="shared" si="24"/>
        <v>0</v>
      </c>
      <c r="AW30" s="93">
        <f t="shared" si="10"/>
        <v>27720.600000000002</v>
      </c>
      <c r="AX30" s="93"/>
      <c r="AY30" s="93"/>
      <c r="AZ30" s="93">
        <f t="shared" ref="AZ30:BG30" si="25">SUM(AZ31:AZ35)</f>
        <v>0</v>
      </c>
      <c r="BA30" s="93">
        <f t="shared" si="25"/>
        <v>0</v>
      </c>
      <c r="BB30" s="93">
        <f t="shared" si="25"/>
        <v>0</v>
      </c>
      <c r="BC30" s="93">
        <f t="shared" si="25"/>
        <v>4663.7</v>
      </c>
      <c r="BD30" s="93">
        <f t="shared" si="25"/>
        <v>0</v>
      </c>
      <c r="BE30" s="93">
        <f t="shared" si="25"/>
        <v>23056.9</v>
      </c>
      <c r="BF30" s="93">
        <f t="shared" si="25"/>
        <v>3734.7</v>
      </c>
      <c r="BG30" s="93">
        <f t="shared" si="25"/>
        <v>0</v>
      </c>
      <c r="BH30" s="93">
        <f t="shared" si="11"/>
        <v>27914.2</v>
      </c>
      <c r="BI30" s="62">
        <f t="shared" ref="BI30:BR30" si="26">SUM(BI31:BI35)</f>
        <v>0</v>
      </c>
      <c r="BJ30" s="62">
        <f t="shared" si="26"/>
        <v>0</v>
      </c>
      <c r="BK30" s="62">
        <f t="shared" si="26"/>
        <v>0</v>
      </c>
      <c r="BL30" s="62">
        <f t="shared" si="26"/>
        <v>0</v>
      </c>
      <c r="BM30" s="62">
        <f t="shared" si="26"/>
        <v>0</v>
      </c>
      <c r="BN30" s="62">
        <f t="shared" si="26"/>
        <v>5028.7</v>
      </c>
      <c r="BO30" s="62">
        <f t="shared" si="26"/>
        <v>0</v>
      </c>
      <c r="BP30" s="62">
        <f t="shared" si="26"/>
        <v>22885.5</v>
      </c>
      <c r="BQ30" s="62">
        <f t="shared" si="26"/>
        <v>3734.7</v>
      </c>
      <c r="BR30" s="62">
        <f t="shared" si="26"/>
        <v>0</v>
      </c>
    </row>
    <row r="31" spans="1:70" ht="45" x14ac:dyDescent="0.2">
      <c r="A31" s="86" t="s">
        <v>371</v>
      </c>
      <c r="B31" s="74">
        <v>3201</v>
      </c>
      <c r="C31" s="89"/>
      <c r="D31" s="89"/>
      <c r="E31" s="89"/>
      <c r="F31" s="89"/>
      <c r="G31" s="90"/>
      <c r="H31" s="97"/>
      <c r="I31" s="98"/>
      <c r="J31" s="98"/>
      <c r="K31" s="99"/>
      <c r="L31" s="91"/>
      <c r="M31" s="91"/>
      <c r="N31" s="93">
        <f>SUM(O31:Y31)</f>
        <v>0</v>
      </c>
      <c r="O31" s="93"/>
      <c r="P31" s="93"/>
      <c r="Q31" s="93"/>
      <c r="R31" s="93"/>
      <c r="S31" s="93"/>
      <c r="T31" s="93"/>
      <c r="U31" s="93"/>
      <c r="V31" s="93">
        <v>0</v>
      </c>
      <c r="W31" s="93"/>
      <c r="X31" s="93"/>
      <c r="Y31" s="93"/>
      <c r="Z31" s="93">
        <f>SUM(AA31:AK31)</f>
        <v>0</v>
      </c>
      <c r="AA31" s="93"/>
      <c r="AB31" s="93"/>
      <c r="AC31" s="93"/>
      <c r="AD31" s="93"/>
      <c r="AE31" s="93"/>
      <c r="AF31" s="93"/>
      <c r="AG31" s="93"/>
      <c r="AH31" s="93"/>
      <c r="AI31" s="93"/>
      <c r="AJ31" s="93"/>
      <c r="AK31" s="93"/>
      <c r="AL31" s="93">
        <f>SUM(AO31:AT31)</f>
        <v>0</v>
      </c>
      <c r="AM31" s="93"/>
      <c r="AN31" s="93"/>
      <c r="AO31" s="93"/>
      <c r="AP31" s="93"/>
      <c r="AQ31" s="93"/>
      <c r="AR31" s="93"/>
      <c r="AS31" s="93">
        <v>0</v>
      </c>
      <c r="AT31" s="93"/>
      <c r="AU31" s="93"/>
      <c r="AV31" s="93"/>
      <c r="AW31" s="93">
        <f t="shared" si="10"/>
        <v>0</v>
      </c>
      <c r="AX31" s="93"/>
      <c r="AY31" s="93"/>
      <c r="AZ31" s="93"/>
      <c r="BA31" s="93"/>
      <c r="BB31" s="93"/>
      <c r="BC31" s="93"/>
      <c r="BD31" s="93">
        <v>0</v>
      </c>
      <c r="BE31" s="93"/>
      <c r="BF31" s="93"/>
      <c r="BG31" s="93"/>
      <c r="BH31" s="93">
        <f t="shared" si="11"/>
        <v>0</v>
      </c>
      <c r="BI31" s="93"/>
      <c r="BJ31" s="93"/>
      <c r="BK31" s="93"/>
      <c r="BL31" s="93"/>
      <c r="BM31" s="93"/>
      <c r="BN31" s="93"/>
      <c r="BO31" s="93">
        <v>0</v>
      </c>
      <c r="BP31" s="93"/>
      <c r="BQ31" s="93"/>
      <c r="BR31" s="93"/>
    </row>
    <row r="32" spans="1:70" ht="45" x14ac:dyDescent="0.2">
      <c r="A32" s="86" t="s">
        <v>372</v>
      </c>
      <c r="B32" s="74">
        <v>3202</v>
      </c>
      <c r="C32" s="89"/>
      <c r="D32" s="89"/>
      <c r="E32" s="89"/>
      <c r="F32" s="89"/>
      <c r="G32" s="90"/>
      <c r="H32" s="97"/>
      <c r="I32" s="98"/>
      <c r="J32" s="98"/>
      <c r="K32" s="99"/>
      <c r="L32" s="91"/>
      <c r="M32" s="91"/>
      <c r="N32" s="93">
        <f>SUM(O32:Y32)</f>
        <v>0</v>
      </c>
      <c r="O32" s="93"/>
      <c r="P32" s="93"/>
      <c r="Q32" s="93"/>
      <c r="R32" s="93"/>
      <c r="S32" s="93"/>
      <c r="T32" s="93"/>
      <c r="U32" s="93"/>
      <c r="V32" s="93">
        <v>0</v>
      </c>
      <c r="W32" s="93"/>
      <c r="X32" s="93"/>
      <c r="Y32" s="93"/>
      <c r="Z32" s="93">
        <f>SUM(AA32:AK32)</f>
        <v>0</v>
      </c>
      <c r="AA32" s="93"/>
      <c r="AB32" s="93"/>
      <c r="AC32" s="93"/>
      <c r="AD32" s="93"/>
      <c r="AE32" s="93"/>
      <c r="AF32" s="93"/>
      <c r="AG32" s="93"/>
      <c r="AH32" s="93"/>
      <c r="AI32" s="93"/>
      <c r="AJ32" s="93"/>
      <c r="AK32" s="93"/>
      <c r="AL32" s="93">
        <f>SUM(AO32:AT32)</f>
        <v>0</v>
      </c>
      <c r="AM32" s="93"/>
      <c r="AN32" s="93"/>
      <c r="AO32" s="93"/>
      <c r="AP32" s="93"/>
      <c r="AQ32" s="93"/>
      <c r="AR32" s="93"/>
      <c r="AS32" s="93">
        <v>0</v>
      </c>
      <c r="AT32" s="93"/>
      <c r="AU32" s="93"/>
      <c r="AV32" s="93"/>
      <c r="AW32" s="93">
        <f t="shared" si="10"/>
        <v>0</v>
      </c>
      <c r="AX32" s="93"/>
      <c r="AY32" s="93"/>
      <c r="AZ32" s="93"/>
      <c r="BA32" s="93"/>
      <c r="BB32" s="93"/>
      <c r="BC32" s="93"/>
      <c r="BD32" s="93"/>
      <c r="BE32" s="93"/>
      <c r="BF32" s="93"/>
      <c r="BG32" s="93"/>
      <c r="BH32" s="93">
        <f t="shared" si="11"/>
        <v>0</v>
      </c>
      <c r="BI32" s="93"/>
      <c r="BJ32" s="93"/>
      <c r="BK32" s="93"/>
      <c r="BL32" s="93"/>
      <c r="BM32" s="93"/>
      <c r="BN32" s="93"/>
      <c r="BO32" s="93"/>
      <c r="BP32" s="93"/>
      <c r="BQ32" s="93"/>
      <c r="BR32" s="93"/>
    </row>
    <row r="33" spans="1:70" ht="236.25" x14ac:dyDescent="0.2">
      <c r="A33" s="86" t="s">
        <v>423</v>
      </c>
      <c r="B33" s="74">
        <v>3236</v>
      </c>
      <c r="C33" s="89"/>
      <c r="D33" s="89"/>
      <c r="E33" s="89"/>
      <c r="F33" s="89"/>
      <c r="G33" s="90"/>
      <c r="H33" s="97"/>
      <c r="I33" s="98"/>
      <c r="J33" s="98"/>
      <c r="K33" s="99"/>
      <c r="L33" s="91"/>
      <c r="M33" s="91"/>
      <c r="N33" s="93">
        <f>SUM(O33:Y33)</f>
        <v>22542.799999999999</v>
      </c>
      <c r="O33" s="93"/>
      <c r="P33" s="93"/>
      <c r="Q33" s="93"/>
      <c r="R33" s="93"/>
      <c r="S33" s="93"/>
      <c r="T33" s="93"/>
      <c r="U33" s="143"/>
      <c r="W33" s="93">
        <f>4611.7+6124.6+11806.5</f>
        <v>22542.799999999999</v>
      </c>
      <c r="X33" s="93"/>
      <c r="Y33" s="93"/>
      <c r="Z33" s="93">
        <f>SUM(AA33:AK33)</f>
        <v>19767.3</v>
      </c>
      <c r="AA33" s="93"/>
      <c r="AB33" s="93"/>
      <c r="AC33" s="93"/>
      <c r="AD33" s="93"/>
      <c r="AE33" s="93"/>
      <c r="AF33" s="93"/>
      <c r="AG33" s="143"/>
      <c r="AI33" s="93">
        <f>3756.3+4204.5+11806.5</f>
        <v>19767.3</v>
      </c>
      <c r="AJ33" s="93"/>
      <c r="AK33" s="93"/>
      <c r="AL33" s="93">
        <f>SUM(AO33:AT33)</f>
        <v>23094.799999999999</v>
      </c>
      <c r="AM33" s="93"/>
      <c r="AN33" s="93"/>
      <c r="AO33" s="93"/>
      <c r="AP33" s="93"/>
      <c r="AQ33" s="93"/>
      <c r="AR33" s="143"/>
      <c r="AT33" s="93">
        <f>5176.8+6668+11250</f>
        <v>23094.799999999999</v>
      </c>
      <c r="AU33" s="93"/>
      <c r="AV33" s="93"/>
      <c r="AW33" s="93">
        <f t="shared" si="10"/>
        <v>23056.9</v>
      </c>
      <c r="AX33" s="93"/>
      <c r="AY33" s="93"/>
      <c r="AZ33" s="93"/>
      <c r="BA33" s="93"/>
      <c r="BB33" s="93"/>
      <c r="BC33" s="93"/>
      <c r="BD33" s="93"/>
      <c r="BE33" s="93">
        <f>5159.6+6616.6+11280.7</f>
        <v>23056.9</v>
      </c>
      <c r="BF33" s="93"/>
      <c r="BG33" s="93"/>
      <c r="BH33" s="93">
        <f t="shared" si="11"/>
        <v>22885.5</v>
      </c>
      <c r="BI33" s="93"/>
      <c r="BJ33" s="93"/>
      <c r="BK33" s="93"/>
      <c r="BL33" s="93"/>
      <c r="BM33" s="93"/>
      <c r="BN33" s="93"/>
      <c r="BO33" s="93"/>
      <c r="BP33" s="93">
        <f>5193.9+6410.9+11280.7</f>
        <v>22885.5</v>
      </c>
      <c r="BQ33" s="93"/>
      <c r="BR33" s="93"/>
    </row>
    <row r="34" spans="1:70" ht="247.5" x14ac:dyDescent="0.2">
      <c r="A34" s="86" t="s">
        <v>424</v>
      </c>
      <c r="B34" s="74">
        <v>3237</v>
      </c>
      <c r="C34" s="89"/>
      <c r="D34" s="89"/>
      <c r="E34" s="89"/>
      <c r="F34" s="89"/>
      <c r="G34" s="90"/>
      <c r="H34" s="97"/>
      <c r="I34" s="98"/>
      <c r="J34" s="98"/>
      <c r="K34" s="99"/>
      <c r="L34" s="91"/>
      <c r="M34" s="91"/>
      <c r="N34" s="93">
        <f>SUM(O34:Y34)</f>
        <v>3125.6</v>
      </c>
      <c r="O34" s="93"/>
      <c r="P34" s="93"/>
      <c r="Q34" s="93"/>
      <c r="R34" s="93"/>
      <c r="S34" s="93"/>
      <c r="T34" s="93"/>
      <c r="U34" s="93"/>
      <c r="V34" s="93"/>
      <c r="W34" s="93"/>
      <c r="X34" s="93">
        <v>3125.6</v>
      </c>
      <c r="Y34" s="93"/>
      <c r="Z34" s="93">
        <f>SUM(AA34:AK34)</f>
        <v>2801.5</v>
      </c>
      <c r="AA34" s="93"/>
      <c r="AB34" s="93"/>
      <c r="AC34" s="93"/>
      <c r="AD34" s="93"/>
      <c r="AE34" s="93"/>
      <c r="AF34" s="93"/>
      <c r="AG34" s="93"/>
      <c r="AH34" s="93"/>
      <c r="AI34" s="93"/>
      <c r="AJ34" s="93">
        <v>2801.5</v>
      </c>
      <c r="AK34" s="93"/>
      <c r="AL34" s="93">
        <f>SUM(AO34:AV34)</f>
        <v>5119.8999999999996</v>
      </c>
      <c r="AM34" s="93"/>
      <c r="AN34" s="93"/>
      <c r="AO34" s="93"/>
      <c r="AP34" s="93"/>
      <c r="AQ34" s="93"/>
      <c r="AR34" s="93"/>
      <c r="AS34" s="93"/>
      <c r="AT34" s="93"/>
      <c r="AU34" s="93">
        <v>5119.8999999999996</v>
      </c>
      <c r="AV34" s="93"/>
      <c r="AW34" s="93">
        <f>SUM(AZ34:BG34)</f>
        <v>3734.7</v>
      </c>
      <c r="AX34" s="93"/>
      <c r="AY34" s="93"/>
      <c r="AZ34" s="93"/>
      <c r="BA34" s="93"/>
      <c r="BB34" s="93"/>
      <c r="BC34" s="93"/>
      <c r="BD34" s="93"/>
      <c r="BE34" s="93"/>
      <c r="BF34" s="93">
        <v>3734.7</v>
      </c>
      <c r="BG34" s="93"/>
      <c r="BH34" s="93">
        <f>SUM(BK34:BQ34)</f>
        <v>3734.7</v>
      </c>
      <c r="BI34" s="93"/>
      <c r="BJ34" s="93"/>
      <c r="BK34" s="93"/>
      <c r="BL34" s="93"/>
      <c r="BM34" s="93"/>
      <c r="BN34" s="93"/>
      <c r="BO34" s="93"/>
      <c r="BP34" s="93"/>
      <c r="BQ34" s="93">
        <v>3734.7</v>
      </c>
      <c r="BR34" s="93"/>
    </row>
    <row r="35" spans="1:70" ht="123.75" x14ac:dyDescent="0.2">
      <c r="A35" s="86" t="s">
        <v>426</v>
      </c>
      <c r="B35" s="74">
        <v>3241</v>
      </c>
      <c r="C35" s="89"/>
      <c r="D35" s="89"/>
      <c r="E35" s="89"/>
      <c r="F35" s="89"/>
      <c r="G35" s="90"/>
      <c r="H35" s="97"/>
      <c r="I35" s="98"/>
      <c r="J35" s="98"/>
      <c r="K35" s="99"/>
      <c r="L35" s="91"/>
      <c r="M35" s="91"/>
      <c r="N35" s="93">
        <f>SUM(O35:Y35)</f>
        <v>4025.6</v>
      </c>
      <c r="O35" s="93"/>
      <c r="P35" s="93"/>
      <c r="Q35" s="93"/>
      <c r="R35" s="93"/>
      <c r="S35" s="93"/>
      <c r="T35" s="93"/>
      <c r="U35" s="93">
        <v>4025.6</v>
      </c>
      <c r="V35" s="93">
        <v>0</v>
      </c>
      <c r="W35" s="93"/>
      <c r="X35" s="93"/>
      <c r="Y35" s="93"/>
      <c r="Z35" s="93">
        <f>SUM(AA35:AK35)</f>
        <v>4014.1</v>
      </c>
      <c r="AA35" s="93"/>
      <c r="AB35" s="93"/>
      <c r="AC35" s="93"/>
      <c r="AD35" s="93"/>
      <c r="AE35" s="93"/>
      <c r="AF35" s="93"/>
      <c r="AG35" s="93">
        <v>4014.1</v>
      </c>
      <c r="AH35" s="93">
        <v>0</v>
      </c>
      <c r="AI35" s="93"/>
      <c r="AJ35" s="93"/>
      <c r="AK35" s="93"/>
      <c r="AL35" s="93">
        <f>SUM(AO35:AT35)</f>
        <v>4420.3999999999996</v>
      </c>
      <c r="AM35" s="93"/>
      <c r="AN35" s="93"/>
      <c r="AO35" s="93"/>
      <c r="AP35" s="93"/>
      <c r="AQ35" s="93"/>
      <c r="AR35" s="93">
        <v>4420.3999999999996</v>
      </c>
      <c r="AS35" s="93"/>
      <c r="AT35" s="93"/>
      <c r="AU35" s="93"/>
      <c r="AV35" s="93"/>
      <c r="AW35" s="93">
        <f t="shared" si="10"/>
        <v>4663.7</v>
      </c>
      <c r="AX35" s="93"/>
      <c r="AY35" s="93"/>
      <c r="AZ35" s="93"/>
      <c r="BA35" s="93"/>
      <c r="BB35" s="93"/>
      <c r="BC35" s="93">
        <v>4663.7</v>
      </c>
      <c r="BD35" s="93"/>
      <c r="BE35" s="93"/>
      <c r="BF35" s="93"/>
      <c r="BG35" s="93"/>
      <c r="BH35" s="93">
        <f t="shared" si="11"/>
        <v>5028.7</v>
      </c>
      <c r="BI35" s="93"/>
      <c r="BJ35" s="93"/>
      <c r="BK35" s="93"/>
      <c r="BL35" s="93"/>
      <c r="BM35" s="93"/>
      <c r="BN35" s="93">
        <v>5028.7</v>
      </c>
      <c r="BO35" s="93"/>
      <c r="BP35" s="93"/>
      <c r="BQ35" s="93"/>
      <c r="BR35" s="93"/>
    </row>
    <row r="36" spans="1:70" ht="45" x14ac:dyDescent="0.2">
      <c r="A36" s="65" t="s">
        <v>431</v>
      </c>
      <c r="B36" s="69">
        <v>3300</v>
      </c>
      <c r="C36" s="66" t="s">
        <v>10</v>
      </c>
      <c r="D36" s="67" t="s">
        <v>10</v>
      </c>
      <c r="E36" s="67" t="s">
        <v>10</v>
      </c>
      <c r="F36" s="66" t="s">
        <v>10</v>
      </c>
      <c r="G36" s="67" t="s">
        <v>10</v>
      </c>
      <c r="H36" s="67" t="s">
        <v>10</v>
      </c>
      <c r="I36" s="66" t="s">
        <v>10</v>
      </c>
      <c r="J36" s="67" t="s">
        <v>10</v>
      </c>
      <c r="K36" s="67" t="s">
        <v>10</v>
      </c>
      <c r="L36" s="64" t="s">
        <v>10</v>
      </c>
      <c r="M36" s="64" t="s">
        <v>10</v>
      </c>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62"/>
      <c r="BJ36" s="62"/>
      <c r="BK36" s="62"/>
      <c r="BL36" s="62"/>
      <c r="BM36" s="62"/>
      <c r="BN36" s="62"/>
      <c r="BO36" s="62"/>
      <c r="BP36" s="62"/>
      <c r="BQ36" s="62"/>
      <c r="BR36" s="62"/>
    </row>
    <row r="37" spans="1:70" ht="52.5" x14ac:dyDescent="0.2">
      <c r="A37" s="60" t="s">
        <v>432</v>
      </c>
      <c r="B37" s="69">
        <v>3400</v>
      </c>
      <c r="C37" s="66" t="s">
        <v>10</v>
      </c>
      <c r="D37" s="67" t="s">
        <v>10</v>
      </c>
      <c r="E37" s="67" t="s">
        <v>10</v>
      </c>
      <c r="F37" s="66" t="s">
        <v>10</v>
      </c>
      <c r="G37" s="67" t="s">
        <v>10</v>
      </c>
      <c r="H37" s="67" t="s">
        <v>10</v>
      </c>
      <c r="I37" s="66" t="s">
        <v>10</v>
      </c>
      <c r="J37" s="67" t="s">
        <v>10</v>
      </c>
      <c r="K37" s="67" t="s">
        <v>10</v>
      </c>
      <c r="L37" s="64" t="s">
        <v>10</v>
      </c>
      <c r="M37" s="64" t="s">
        <v>10</v>
      </c>
      <c r="N37" s="93">
        <f>SUM(N38:N39)</f>
        <v>264140.19999999995</v>
      </c>
      <c r="O37" s="93"/>
      <c r="P37" s="93"/>
      <c r="Q37" s="93">
        <f>Q38+Q39</f>
        <v>0</v>
      </c>
      <c r="R37" s="93">
        <f>R38+R39</f>
        <v>73022</v>
      </c>
      <c r="S37" s="93">
        <f>S38+S39</f>
        <v>190661.4</v>
      </c>
      <c r="T37" s="93">
        <f>T38+T39</f>
        <v>0</v>
      </c>
      <c r="U37" s="93"/>
      <c r="V37" s="93">
        <f>V38+V39</f>
        <v>0</v>
      </c>
      <c r="W37" s="93">
        <f>W38+W39</f>
        <v>456.8</v>
      </c>
      <c r="X37" s="93">
        <f>X38+X39</f>
        <v>0</v>
      </c>
      <c r="Y37" s="93">
        <f>Y38+Y39</f>
        <v>0</v>
      </c>
      <c r="Z37" s="93">
        <f>SUM(Z38:Z39)</f>
        <v>262307.09999999998</v>
      </c>
      <c r="AA37" s="93"/>
      <c r="AB37" s="93"/>
      <c r="AC37" s="93">
        <f>AC38+AC39</f>
        <v>0</v>
      </c>
      <c r="AD37" s="93">
        <f>AD38+AD39</f>
        <v>72787.299999999988</v>
      </c>
      <c r="AE37" s="93">
        <f>AE38+AE39</f>
        <v>189302.3</v>
      </c>
      <c r="AF37" s="93">
        <f>AF38+AF39</f>
        <v>0</v>
      </c>
      <c r="AG37" s="93"/>
      <c r="AH37" s="93">
        <f>AH38+AH39</f>
        <v>0</v>
      </c>
      <c r="AI37" s="93">
        <f>AI38+AI39</f>
        <v>217.5</v>
      </c>
      <c r="AJ37" s="93">
        <f>AJ38+AJ39</f>
        <v>0</v>
      </c>
      <c r="AK37" s="93">
        <f>AK38+AK39</f>
        <v>0</v>
      </c>
      <c r="AL37" s="93">
        <f t="shared" ref="AL37:AL43" si="27">SUM(AO37:AT37)</f>
        <v>252348.5</v>
      </c>
      <c r="AM37" s="93"/>
      <c r="AN37" s="93">
        <f>AN38+AN39</f>
        <v>0</v>
      </c>
      <c r="AO37" s="93">
        <f>AO38+AO39</f>
        <v>67238.099999999991</v>
      </c>
      <c r="AP37" s="93">
        <f>AP38+AP39</f>
        <v>184513.6</v>
      </c>
      <c r="AQ37" s="93">
        <f>AQ38+AQ39</f>
        <v>0</v>
      </c>
      <c r="AR37" s="93"/>
      <c r="AS37" s="93">
        <f>AS38+AS39</f>
        <v>0</v>
      </c>
      <c r="AT37" s="93">
        <f>AT38+AT39</f>
        <v>596.79999999999995</v>
      </c>
      <c r="AU37" s="93">
        <f>AU38+AU39</f>
        <v>0</v>
      </c>
      <c r="AV37" s="93">
        <f>AV38+AV39</f>
        <v>0</v>
      </c>
      <c r="AW37" s="93">
        <f t="shared" ref="AW37:AW43" si="28">SUM(AZ37:BE37)</f>
        <v>247611.90000000002</v>
      </c>
      <c r="AX37" s="93"/>
      <c r="AY37" s="93"/>
      <c r="AZ37" s="93">
        <f>AZ38+AZ39</f>
        <v>61873.200000000004</v>
      </c>
      <c r="BA37" s="93">
        <f>BA38+BA39</f>
        <v>185268.80000000002</v>
      </c>
      <c r="BB37" s="93">
        <f>BB38+BB39</f>
        <v>0</v>
      </c>
      <c r="BC37" s="93"/>
      <c r="BD37" s="93">
        <f>BD38+BD39</f>
        <v>0</v>
      </c>
      <c r="BE37" s="93">
        <f>BE38+BE39</f>
        <v>469.9</v>
      </c>
      <c r="BF37" s="93">
        <f>BF38+BF39</f>
        <v>0</v>
      </c>
      <c r="BG37" s="93">
        <f>BG38+BG39</f>
        <v>0</v>
      </c>
      <c r="BH37" s="93">
        <f t="shared" ref="BH37:BH43" si="29">SUM(BK37:BP37)</f>
        <v>240657.2</v>
      </c>
      <c r="BI37" s="62">
        <f t="shared" ref="BI37:BR37" si="30">BI38+BI39</f>
        <v>0</v>
      </c>
      <c r="BJ37" s="62">
        <f t="shared" si="30"/>
        <v>0</v>
      </c>
      <c r="BK37" s="62">
        <f t="shared" si="30"/>
        <v>58411.1</v>
      </c>
      <c r="BL37" s="62">
        <f t="shared" si="30"/>
        <v>181852.30000000002</v>
      </c>
      <c r="BM37" s="62">
        <f t="shared" si="30"/>
        <v>0</v>
      </c>
      <c r="BN37" s="62">
        <f t="shared" si="30"/>
        <v>0</v>
      </c>
      <c r="BO37" s="62">
        <f t="shared" si="30"/>
        <v>0</v>
      </c>
      <c r="BP37" s="62">
        <f t="shared" si="30"/>
        <v>393.8</v>
      </c>
      <c r="BQ37" s="62">
        <f t="shared" si="30"/>
        <v>0</v>
      </c>
      <c r="BR37" s="62">
        <f t="shared" si="30"/>
        <v>0</v>
      </c>
    </row>
    <row r="38" spans="1:70" ht="191.25" x14ac:dyDescent="0.2">
      <c r="A38" s="86" t="s">
        <v>433</v>
      </c>
      <c r="B38" s="74">
        <v>3402</v>
      </c>
      <c r="C38" s="95"/>
      <c r="D38" s="96"/>
      <c r="E38" s="96"/>
      <c r="F38" s="95"/>
      <c r="G38" s="96"/>
      <c r="H38" s="96"/>
      <c r="I38" s="95"/>
      <c r="J38" s="96"/>
      <c r="K38" s="96"/>
      <c r="L38" s="91"/>
      <c r="M38" s="91"/>
      <c r="N38" s="92">
        <f>SUM(O38:Y38)</f>
        <v>191118.19999999998</v>
      </c>
      <c r="O38" s="92"/>
      <c r="P38" s="92"/>
      <c r="Q38" s="93"/>
      <c r="R38" s="93">
        <v>0</v>
      </c>
      <c r="S38" s="93">
        <f>174560.2+11428.1+137.3+4535.8</f>
        <v>190661.4</v>
      </c>
      <c r="T38" s="93"/>
      <c r="U38" s="93"/>
      <c r="V38" s="93"/>
      <c r="W38" s="93">
        <v>456.8</v>
      </c>
      <c r="X38" s="93"/>
      <c r="Y38" s="93"/>
      <c r="Z38" s="92">
        <f>SUM(AA38:AK38)</f>
        <v>189519.8</v>
      </c>
      <c r="AA38" s="92"/>
      <c r="AB38" s="92"/>
      <c r="AC38" s="93"/>
      <c r="AD38" s="93">
        <v>0</v>
      </c>
      <c r="AE38" s="93">
        <f>174541.5+11355.6+137.3+3267.9</f>
        <v>189302.3</v>
      </c>
      <c r="AF38" s="93"/>
      <c r="AG38" s="93"/>
      <c r="AH38" s="93"/>
      <c r="AI38" s="93">
        <v>217.5</v>
      </c>
      <c r="AJ38" s="93"/>
      <c r="AK38" s="93"/>
      <c r="AL38" s="92">
        <f t="shared" si="27"/>
        <v>185110.39999999999</v>
      </c>
      <c r="AM38" s="92"/>
      <c r="AN38" s="93"/>
      <c r="AO38" s="93"/>
      <c r="AP38" s="93">
        <f>167462+12128.1+4923.5</f>
        <v>184513.6</v>
      </c>
      <c r="AQ38" s="93"/>
      <c r="AR38" s="93"/>
      <c r="AS38" s="93"/>
      <c r="AT38" s="93">
        <v>596.79999999999995</v>
      </c>
      <c r="AU38" s="93"/>
      <c r="AV38" s="93"/>
      <c r="AW38" s="92">
        <f>SUM(AZ38:BE38)</f>
        <v>185738.7</v>
      </c>
      <c r="AX38" s="92"/>
      <c r="AY38" s="92"/>
      <c r="AZ38" s="93"/>
      <c r="BA38" s="93">
        <f>168096.2+12128.1+5044.5</f>
        <v>185268.80000000002</v>
      </c>
      <c r="BB38" s="93"/>
      <c r="BC38" s="93"/>
      <c r="BD38" s="93"/>
      <c r="BE38" s="93">
        <v>469.9</v>
      </c>
      <c r="BF38" s="93"/>
      <c r="BG38" s="93"/>
      <c r="BH38" s="92">
        <f>SUM(BK38:BP38)</f>
        <v>182246.1</v>
      </c>
      <c r="BI38" s="93"/>
      <c r="BJ38" s="93"/>
      <c r="BK38" s="93"/>
      <c r="BL38" s="93">
        <f>164534.2+12128.1+5190</f>
        <v>181852.30000000002</v>
      </c>
      <c r="BM38" s="93"/>
      <c r="BN38" s="93"/>
      <c r="BO38" s="93"/>
      <c r="BP38" s="93">
        <v>393.8</v>
      </c>
      <c r="BQ38" s="93"/>
      <c r="BR38" s="93"/>
    </row>
    <row r="39" spans="1:70" ht="191.25" x14ac:dyDescent="0.2">
      <c r="A39" s="86" t="s">
        <v>434</v>
      </c>
      <c r="B39" s="74">
        <v>3403</v>
      </c>
      <c r="C39" s="95"/>
      <c r="D39" s="96"/>
      <c r="E39" s="96"/>
      <c r="F39" s="95"/>
      <c r="G39" s="96"/>
      <c r="H39" s="96"/>
      <c r="I39" s="95"/>
      <c r="J39" s="96"/>
      <c r="K39" s="96"/>
      <c r="L39" s="91"/>
      <c r="M39" s="91"/>
      <c r="N39" s="92">
        <f>SUM(O39:Y39)</f>
        <v>73022</v>
      </c>
      <c r="O39" s="92"/>
      <c r="P39" s="92"/>
      <c r="Q39" s="93"/>
      <c r="R39" s="93">
        <f>921.1+72100.9</f>
        <v>73022</v>
      </c>
      <c r="S39" s="93"/>
      <c r="T39" s="93"/>
      <c r="U39" s="93"/>
      <c r="V39" s="93"/>
      <c r="W39" s="93"/>
      <c r="X39" s="93"/>
      <c r="Y39" s="93"/>
      <c r="Z39" s="92">
        <f>SUM(AA39:AK39)</f>
        <v>72787.299999999988</v>
      </c>
      <c r="AA39" s="92"/>
      <c r="AB39" s="92"/>
      <c r="AC39" s="93"/>
      <c r="AD39" s="93">
        <f>686.4+72100.9</f>
        <v>72787.299999999988</v>
      </c>
      <c r="AE39" s="93"/>
      <c r="AF39" s="93"/>
      <c r="AG39" s="93"/>
      <c r="AH39" s="93"/>
      <c r="AI39" s="93"/>
      <c r="AJ39" s="93"/>
      <c r="AK39" s="93"/>
      <c r="AL39" s="92">
        <f t="shared" si="27"/>
        <v>67238.099999999991</v>
      </c>
      <c r="AM39" s="92"/>
      <c r="AN39" s="93"/>
      <c r="AO39" s="93">
        <f>66238.7+999.4</f>
        <v>67238.099999999991</v>
      </c>
      <c r="AP39" s="93"/>
      <c r="AQ39" s="93"/>
      <c r="AR39" s="93"/>
      <c r="AS39" s="93"/>
      <c r="AT39" s="93"/>
      <c r="AU39" s="93"/>
      <c r="AV39" s="93"/>
      <c r="AW39" s="92">
        <f t="shared" si="28"/>
        <v>61873.200000000004</v>
      </c>
      <c r="AX39" s="92"/>
      <c r="AY39" s="92"/>
      <c r="AZ39" s="93">
        <f>61020.8+852.4</f>
        <v>61873.200000000004</v>
      </c>
      <c r="BA39" s="93"/>
      <c r="BB39" s="93"/>
      <c r="BC39" s="93"/>
      <c r="BD39" s="93"/>
      <c r="BE39" s="93"/>
      <c r="BF39" s="93"/>
      <c r="BG39" s="93"/>
      <c r="BH39" s="92">
        <f t="shared" si="29"/>
        <v>58411.1</v>
      </c>
      <c r="BI39" s="93"/>
      <c r="BJ39" s="93"/>
      <c r="BK39" s="93">
        <f>57632.2+778.9</f>
        <v>58411.1</v>
      </c>
      <c r="BL39" s="93"/>
      <c r="BM39" s="93"/>
      <c r="BN39" s="93"/>
      <c r="BO39" s="93"/>
      <c r="BP39" s="93"/>
      <c r="BQ39" s="93"/>
      <c r="BR39" s="93"/>
    </row>
    <row r="40" spans="1:70" ht="63" x14ac:dyDescent="0.2">
      <c r="A40" s="60" t="s">
        <v>435</v>
      </c>
      <c r="B40" s="122">
        <v>3500</v>
      </c>
      <c r="C40" s="66" t="s">
        <v>10</v>
      </c>
      <c r="D40" s="67" t="s">
        <v>10</v>
      </c>
      <c r="E40" s="67" t="s">
        <v>10</v>
      </c>
      <c r="F40" s="66" t="s">
        <v>10</v>
      </c>
      <c r="G40" s="67" t="s">
        <v>10</v>
      </c>
      <c r="H40" s="67" t="s">
        <v>10</v>
      </c>
      <c r="I40" s="66" t="s">
        <v>10</v>
      </c>
      <c r="J40" s="67" t="s">
        <v>10</v>
      </c>
      <c r="K40" s="67" t="s">
        <v>10</v>
      </c>
      <c r="L40" s="64" t="s">
        <v>10</v>
      </c>
      <c r="M40" s="64" t="s">
        <v>10</v>
      </c>
      <c r="N40" s="179">
        <f>SUM(AL40:AM40)</f>
        <v>0</v>
      </c>
      <c r="O40" s="179"/>
      <c r="P40" s="179"/>
      <c r="Q40" s="84">
        <f>Q41+Q42</f>
        <v>0</v>
      </c>
      <c r="R40" s="84">
        <f>R41+R42</f>
        <v>0</v>
      </c>
      <c r="S40" s="84">
        <f>S41+S42</f>
        <v>0</v>
      </c>
      <c r="T40" s="84">
        <f>T41+T42</f>
        <v>0</v>
      </c>
      <c r="U40" s="84"/>
      <c r="V40" s="84">
        <f>V41+V42</f>
        <v>0</v>
      </c>
      <c r="W40" s="84">
        <f>W41+W42</f>
        <v>0</v>
      </c>
      <c r="X40" s="84">
        <f>X41+X42</f>
        <v>0</v>
      </c>
      <c r="Y40" s="84">
        <f>Y41+Y42</f>
        <v>0</v>
      </c>
      <c r="Z40" s="179">
        <f>SUM(AW40:AX40)</f>
        <v>0</v>
      </c>
      <c r="AA40" s="179"/>
      <c r="AB40" s="179"/>
      <c r="AC40" s="84">
        <f>AC41+AC42</f>
        <v>0</v>
      </c>
      <c r="AD40" s="84">
        <f>AD41+AD42</f>
        <v>0</v>
      </c>
      <c r="AE40" s="84">
        <f>AE41+AE42</f>
        <v>0</v>
      </c>
      <c r="AF40" s="84">
        <f>AF41+AF42</f>
        <v>0</v>
      </c>
      <c r="AG40" s="84"/>
      <c r="AH40" s="84">
        <f>AH41+AH42</f>
        <v>0</v>
      </c>
      <c r="AI40" s="84">
        <f>AI41+AI42</f>
        <v>0</v>
      </c>
      <c r="AJ40" s="84">
        <f>AJ41+AJ42</f>
        <v>0</v>
      </c>
      <c r="AK40" s="84">
        <f>AK41+AK42</f>
        <v>0</v>
      </c>
      <c r="AL40" s="179">
        <f t="shared" si="27"/>
        <v>0</v>
      </c>
      <c r="AM40" s="179"/>
      <c r="AN40" s="84">
        <f>AN41+AN42</f>
        <v>0</v>
      </c>
      <c r="AO40" s="84">
        <f>AO41+AO42</f>
        <v>0</v>
      </c>
      <c r="AP40" s="84">
        <f>AP41+AP42</f>
        <v>0</v>
      </c>
      <c r="AQ40" s="84">
        <f>AQ41+AQ42</f>
        <v>0</v>
      </c>
      <c r="AR40" s="84"/>
      <c r="AS40" s="84">
        <f>AS41+AS42</f>
        <v>0</v>
      </c>
      <c r="AT40" s="84">
        <f>AT41+AT42</f>
        <v>0</v>
      </c>
      <c r="AU40" s="84">
        <f>AU41+AU42</f>
        <v>0</v>
      </c>
      <c r="AV40" s="84">
        <f>AV41+AV42</f>
        <v>0</v>
      </c>
      <c r="AW40" s="179">
        <f t="shared" si="28"/>
        <v>0</v>
      </c>
      <c r="AX40" s="179"/>
      <c r="AY40" s="179"/>
      <c r="AZ40" s="84">
        <f>AZ41+AZ42</f>
        <v>0</v>
      </c>
      <c r="BA40" s="84">
        <f>BA41+BA42</f>
        <v>0</v>
      </c>
      <c r="BB40" s="84">
        <f>BB41+BB42</f>
        <v>0</v>
      </c>
      <c r="BC40" s="84"/>
      <c r="BD40" s="84">
        <f>BD41+BD42</f>
        <v>0</v>
      </c>
      <c r="BE40" s="84">
        <f>BE41+BE42</f>
        <v>0</v>
      </c>
      <c r="BF40" s="84">
        <f>BF41+BF42</f>
        <v>0</v>
      </c>
      <c r="BG40" s="84">
        <f>BG41+BG42</f>
        <v>0</v>
      </c>
      <c r="BH40" s="179">
        <f t="shared" si="29"/>
        <v>0</v>
      </c>
      <c r="BI40" s="70">
        <f t="shared" ref="BI40:BR40" si="31">BI41+BI42</f>
        <v>0</v>
      </c>
      <c r="BJ40" s="70">
        <f t="shared" si="31"/>
        <v>0</v>
      </c>
      <c r="BK40" s="70">
        <f t="shared" si="31"/>
        <v>0</v>
      </c>
      <c r="BL40" s="70">
        <f t="shared" si="31"/>
        <v>0</v>
      </c>
      <c r="BM40" s="70">
        <f t="shared" si="31"/>
        <v>0</v>
      </c>
      <c r="BN40" s="70">
        <f t="shared" si="31"/>
        <v>0</v>
      </c>
      <c r="BO40" s="70">
        <f t="shared" si="31"/>
        <v>0</v>
      </c>
      <c r="BP40" s="70">
        <f t="shared" si="31"/>
        <v>0</v>
      </c>
      <c r="BQ40" s="70">
        <f t="shared" si="31"/>
        <v>0</v>
      </c>
      <c r="BR40" s="70">
        <f t="shared" si="31"/>
        <v>0</v>
      </c>
    </row>
    <row r="41" spans="1:70" ht="22.5" x14ac:dyDescent="0.2">
      <c r="A41" s="63" t="s">
        <v>436</v>
      </c>
      <c r="B41" s="69">
        <v>3501</v>
      </c>
      <c r="C41" s="66" t="s">
        <v>10</v>
      </c>
      <c r="D41" s="67" t="s">
        <v>10</v>
      </c>
      <c r="E41" s="67" t="s">
        <v>10</v>
      </c>
      <c r="F41" s="66" t="s">
        <v>10</v>
      </c>
      <c r="G41" s="67" t="s">
        <v>10</v>
      </c>
      <c r="H41" s="67" t="s">
        <v>10</v>
      </c>
      <c r="I41" s="66" t="s">
        <v>10</v>
      </c>
      <c r="J41" s="67" t="s">
        <v>10</v>
      </c>
      <c r="K41" s="67" t="s">
        <v>10</v>
      </c>
      <c r="L41" s="64" t="s">
        <v>10</v>
      </c>
      <c r="M41" s="64" t="s">
        <v>10</v>
      </c>
      <c r="N41" s="179">
        <f>SUM(AL41:AM41)</f>
        <v>0</v>
      </c>
      <c r="O41" s="179"/>
      <c r="P41" s="179"/>
      <c r="Q41" s="84"/>
      <c r="R41" s="84"/>
      <c r="S41" s="84"/>
      <c r="T41" s="84"/>
      <c r="U41" s="84"/>
      <c r="V41" s="84"/>
      <c r="W41" s="84"/>
      <c r="X41" s="84"/>
      <c r="Y41" s="84"/>
      <c r="Z41" s="179">
        <f>SUM(AW41:AX41)</f>
        <v>0</v>
      </c>
      <c r="AA41" s="179"/>
      <c r="AB41" s="179"/>
      <c r="AC41" s="84"/>
      <c r="AD41" s="84"/>
      <c r="AE41" s="84"/>
      <c r="AF41" s="84"/>
      <c r="AG41" s="84"/>
      <c r="AH41" s="84"/>
      <c r="AI41" s="84"/>
      <c r="AJ41" s="84"/>
      <c r="AK41" s="84"/>
      <c r="AL41" s="179">
        <f t="shared" si="27"/>
        <v>0</v>
      </c>
      <c r="AM41" s="179"/>
      <c r="AN41" s="84"/>
      <c r="AO41" s="84"/>
      <c r="AP41" s="84"/>
      <c r="AQ41" s="84"/>
      <c r="AR41" s="84"/>
      <c r="AS41" s="84"/>
      <c r="AT41" s="84"/>
      <c r="AU41" s="84"/>
      <c r="AV41" s="84"/>
      <c r="AW41" s="179">
        <f t="shared" si="28"/>
        <v>0</v>
      </c>
      <c r="AX41" s="179"/>
      <c r="AY41" s="179"/>
      <c r="AZ41" s="84"/>
      <c r="BA41" s="84"/>
      <c r="BB41" s="84"/>
      <c r="BC41" s="84"/>
      <c r="BD41" s="84"/>
      <c r="BE41" s="84"/>
      <c r="BF41" s="84"/>
      <c r="BG41" s="84"/>
      <c r="BH41" s="179">
        <f t="shared" si="29"/>
        <v>0</v>
      </c>
      <c r="BI41" s="70"/>
      <c r="BJ41" s="70"/>
      <c r="BK41" s="70"/>
      <c r="BL41" s="70"/>
      <c r="BM41" s="70"/>
      <c r="BN41" s="70"/>
      <c r="BO41" s="70"/>
      <c r="BP41" s="70"/>
      <c r="BQ41" s="70"/>
      <c r="BR41" s="70"/>
    </row>
    <row r="42" spans="1:70" ht="22.5" x14ac:dyDescent="0.2">
      <c r="A42" s="63" t="s">
        <v>437</v>
      </c>
      <c r="B42" s="69">
        <v>3502</v>
      </c>
      <c r="C42" s="66" t="s">
        <v>10</v>
      </c>
      <c r="D42" s="67" t="s">
        <v>10</v>
      </c>
      <c r="E42" s="67" t="s">
        <v>10</v>
      </c>
      <c r="F42" s="66" t="s">
        <v>10</v>
      </c>
      <c r="G42" s="67" t="s">
        <v>10</v>
      </c>
      <c r="H42" s="67" t="s">
        <v>10</v>
      </c>
      <c r="I42" s="66" t="s">
        <v>10</v>
      </c>
      <c r="J42" s="67" t="s">
        <v>10</v>
      </c>
      <c r="K42" s="67" t="s">
        <v>10</v>
      </c>
      <c r="L42" s="64" t="s">
        <v>10</v>
      </c>
      <c r="M42" s="64" t="s">
        <v>10</v>
      </c>
      <c r="N42" s="179">
        <f>SUM(AL42:AM42)</f>
        <v>0</v>
      </c>
      <c r="O42" s="179"/>
      <c r="P42" s="179"/>
      <c r="Q42" s="93"/>
      <c r="R42" s="93"/>
      <c r="S42" s="93"/>
      <c r="T42" s="93"/>
      <c r="U42" s="93"/>
      <c r="V42" s="93"/>
      <c r="W42" s="93"/>
      <c r="X42" s="93"/>
      <c r="Y42" s="93"/>
      <c r="Z42" s="179">
        <f>SUM(AW42:AX42)</f>
        <v>0</v>
      </c>
      <c r="AA42" s="179"/>
      <c r="AB42" s="179"/>
      <c r="AC42" s="93"/>
      <c r="AD42" s="93"/>
      <c r="AE42" s="93"/>
      <c r="AF42" s="93"/>
      <c r="AG42" s="93"/>
      <c r="AH42" s="93"/>
      <c r="AI42" s="93"/>
      <c r="AJ42" s="93"/>
      <c r="AK42" s="93"/>
      <c r="AL42" s="179">
        <f t="shared" si="27"/>
        <v>0</v>
      </c>
      <c r="AM42" s="179"/>
      <c r="AN42" s="93"/>
      <c r="AO42" s="93"/>
      <c r="AP42" s="93"/>
      <c r="AQ42" s="93"/>
      <c r="AR42" s="93"/>
      <c r="AS42" s="93"/>
      <c r="AT42" s="93"/>
      <c r="AU42" s="93"/>
      <c r="AV42" s="93"/>
      <c r="AW42" s="179">
        <f t="shared" si="28"/>
        <v>0</v>
      </c>
      <c r="AX42" s="179"/>
      <c r="AY42" s="179"/>
      <c r="AZ42" s="93"/>
      <c r="BA42" s="93"/>
      <c r="BB42" s="93"/>
      <c r="BC42" s="93"/>
      <c r="BD42" s="93"/>
      <c r="BE42" s="93"/>
      <c r="BF42" s="93"/>
      <c r="BG42" s="93"/>
      <c r="BH42" s="179">
        <f t="shared" si="29"/>
        <v>0</v>
      </c>
      <c r="BI42" s="62"/>
      <c r="BJ42" s="62"/>
      <c r="BK42" s="62"/>
      <c r="BL42" s="62"/>
      <c r="BM42" s="62"/>
      <c r="BN42" s="62"/>
      <c r="BO42" s="62"/>
      <c r="BP42" s="62"/>
      <c r="BQ42" s="62"/>
      <c r="BR42" s="62"/>
    </row>
    <row r="43" spans="1:70" x14ac:dyDescent="0.2">
      <c r="A43" s="9" t="s">
        <v>0</v>
      </c>
      <c r="B43" s="14">
        <v>8000</v>
      </c>
      <c r="C43" s="19" t="s">
        <v>10</v>
      </c>
      <c r="D43" s="20" t="s">
        <v>10</v>
      </c>
      <c r="E43" s="20" t="s">
        <v>10</v>
      </c>
      <c r="F43" s="19" t="s">
        <v>10</v>
      </c>
      <c r="G43" s="20" t="s">
        <v>10</v>
      </c>
      <c r="H43" s="20" t="s">
        <v>10</v>
      </c>
      <c r="I43" s="19" t="s">
        <v>10</v>
      </c>
      <c r="J43" s="20" t="s">
        <v>10</v>
      </c>
      <c r="K43" s="20" t="s">
        <v>10</v>
      </c>
      <c r="L43" s="13" t="s">
        <v>10</v>
      </c>
      <c r="M43" s="13" t="s">
        <v>10</v>
      </c>
      <c r="N43" s="93">
        <f>SUM(AL43:AM43)</f>
        <v>0</v>
      </c>
      <c r="O43" s="93"/>
      <c r="P43" s="93"/>
      <c r="Q43" s="93"/>
      <c r="R43" s="93"/>
      <c r="S43" s="93"/>
      <c r="T43" s="93"/>
      <c r="U43" s="93"/>
      <c r="V43" s="93"/>
      <c r="W43" s="93"/>
      <c r="X43" s="93"/>
      <c r="Y43" s="93"/>
      <c r="Z43" s="93">
        <f>SUM(AW43:AX43)</f>
        <v>0</v>
      </c>
      <c r="AA43" s="93"/>
      <c r="AB43" s="93"/>
      <c r="AC43" s="93"/>
      <c r="AD43" s="93"/>
      <c r="AE43" s="93"/>
      <c r="AF43" s="93"/>
      <c r="AG43" s="93"/>
      <c r="AH43" s="93"/>
      <c r="AI43" s="93"/>
      <c r="AJ43" s="93"/>
      <c r="AK43" s="93"/>
      <c r="AL43" s="93">
        <f t="shared" si="27"/>
        <v>0</v>
      </c>
      <c r="AM43" s="93"/>
      <c r="AN43" s="93"/>
      <c r="AO43" s="93"/>
      <c r="AP43" s="93"/>
      <c r="AQ43" s="93"/>
      <c r="AR43" s="93"/>
      <c r="AS43" s="93"/>
      <c r="AT43" s="93"/>
      <c r="AU43" s="93"/>
      <c r="AV43" s="93"/>
      <c r="AW43" s="93">
        <f t="shared" si="28"/>
        <v>0</v>
      </c>
      <c r="AX43" s="93"/>
      <c r="AY43" s="93"/>
      <c r="AZ43" s="93"/>
      <c r="BA43" s="93"/>
      <c r="BB43" s="93"/>
      <c r="BC43" s="93"/>
      <c r="BD43" s="93"/>
      <c r="BE43" s="93"/>
      <c r="BF43" s="93"/>
      <c r="BG43" s="93"/>
      <c r="BH43" s="93">
        <f t="shared" si="29"/>
        <v>0</v>
      </c>
      <c r="BI43" s="12"/>
      <c r="BJ43" s="12"/>
      <c r="BK43" s="12"/>
      <c r="BL43" s="12"/>
      <c r="BM43" s="12"/>
      <c r="BN43" s="12"/>
      <c r="BO43" s="12"/>
      <c r="BP43" s="12"/>
      <c r="BQ43" s="12"/>
      <c r="BR43" s="12"/>
    </row>
    <row r="44" spans="1:70" x14ac:dyDescent="0.2">
      <c r="A44" s="51"/>
      <c r="B44" s="52"/>
      <c r="C44" s="53"/>
      <c r="D44" s="54"/>
      <c r="E44" s="54"/>
      <c r="F44" s="53"/>
      <c r="G44" s="54"/>
      <c r="H44" s="54"/>
      <c r="I44" s="53"/>
      <c r="J44" s="54"/>
      <c r="K44" s="54"/>
      <c r="L44" s="55"/>
      <c r="M44" s="55"/>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56"/>
      <c r="BJ44" s="56"/>
      <c r="BK44" s="56"/>
      <c r="BL44" s="56"/>
      <c r="BM44" s="56"/>
      <c r="BN44" s="56"/>
      <c r="BO44" s="56"/>
      <c r="BP44" s="56"/>
      <c r="BQ44" s="56"/>
      <c r="BR44" s="56"/>
    </row>
    <row r="45" spans="1:70" ht="15" x14ac:dyDescent="0.2">
      <c r="A45" s="223" t="s">
        <v>597</v>
      </c>
      <c r="B45" s="223"/>
      <c r="C45" s="223"/>
      <c r="D45" s="223"/>
      <c r="E45" s="223"/>
      <c r="F45" s="53"/>
      <c r="G45" s="54"/>
      <c r="H45" s="54"/>
      <c r="I45" s="53"/>
      <c r="J45" s="54"/>
      <c r="K45" s="54"/>
      <c r="L45" s="55"/>
      <c r="M45" s="55"/>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56"/>
      <c r="BJ45" s="56"/>
      <c r="BK45" s="56"/>
      <c r="BL45" s="56"/>
      <c r="BM45" s="56"/>
      <c r="BN45" s="56"/>
      <c r="BO45" s="56"/>
      <c r="BP45" s="56"/>
      <c r="BQ45" s="56"/>
      <c r="BR45" s="56"/>
    </row>
    <row r="47" spans="1:70" x14ac:dyDescent="0.2">
      <c r="A47" t="s">
        <v>235</v>
      </c>
    </row>
  </sheetData>
  <mergeCells count="19">
    <mergeCell ref="A45:E45"/>
    <mergeCell ref="A1:H1"/>
    <mergeCell ref="A2:H2"/>
    <mergeCell ref="A3:H3"/>
    <mergeCell ref="A4:A6"/>
    <mergeCell ref="C5:E5"/>
    <mergeCell ref="F5:H5"/>
    <mergeCell ref="I5:K5"/>
    <mergeCell ref="B4:B6"/>
    <mergeCell ref="C4:I4"/>
    <mergeCell ref="AL4:AL6"/>
    <mergeCell ref="AW4:BH5"/>
    <mergeCell ref="Z5:Z6"/>
    <mergeCell ref="N4:Z4"/>
    <mergeCell ref="AL1:AT1"/>
    <mergeCell ref="AL2:AT2"/>
    <mergeCell ref="L3:BH3"/>
    <mergeCell ref="N5:N6"/>
    <mergeCell ref="L4:M5"/>
  </mergeCells>
  <pageMargins left="0.31496062992125984" right="0.31496062992125984" top="0.19685039370078741" bottom="0.19685039370078741" header="0.19685039370078741" footer="0"/>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41"/>
  <sheetViews>
    <sheetView view="pageBreakPreview" zoomScale="80" zoomScaleNormal="90" zoomScaleSheetLayoutView="80" workbookViewId="0">
      <pane xSplit="11" ySplit="7" topLeftCell="L8" activePane="bottomRight" state="frozen"/>
      <selection pane="topRight" activeCell="L1" sqref="L1"/>
      <selection pane="bottomLeft" activeCell="A8" sqref="A8"/>
      <selection pane="bottomRight" activeCell="X8" sqref="X8"/>
    </sheetView>
  </sheetViews>
  <sheetFormatPr defaultColWidth="9.140625" defaultRowHeight="12.75" x14ac:dyDescent="0.2"/>
  <cols>
    <col min="1" max="1" width="45.140625" customWidth="1"/>
    <col min="2" max="2" width="6.42578125" customWidth="1"/>
    <col min="3" max="3" width="24.7109375" hidden="1" customWidth="1"/>
    <col min="4" max="4" width="0" hidden="1" customWidth="1"/>
    <col min="5" max="5" width="11" hidden="1" customWidth="1"/>
    <col min="6" max="6" width="28" hidden="1" customWidth="1"/>
    <col min="7" max="8" width="0" hidden="1" customWidth="1"/>
    <col min="9" max="9" width="29.42578125" hidden="1" customWidth="1"/>
    <col min="10" max="10" width="0" hidden="1" customWidth="1"/>
    <col min="11" max="11" width="10.85546875" hidden="1" customWidth="1"/>
    <col min="12" max="12" width="7.140625" customWidth="1"/>
    <col min="13" max="13" width="9.140625" customWidth="1"/>
    <col min="14" max="14" width="8.7109375" style="147" customWidth="1"/>
    <col min="15" max="23" width="8.7109375" style="147" hidden="1" customWidth="1"/>
    <col min="24" max="24" width="10" style="147" customWidth="1"/>
    <col min="25" max="33" width="11.5703125" style="147" hidden="1" customWidth="1"/>
    <col min="34" max="34" width="11.5703125" style="147" customWidth="1"/>
    <col min="35" max="43" width="10" style="147" hidden="1" customWidth="1"/>
    <col min="44" max="44" width="10" style="147" customWidth="1"/>
    <col min="45" max="53" width="10" style="147" hidden="1" customWidth="1"/>
    <col min="54" max="54" width="10" style="147" customWidth="1"/>
    <col min="55" max="63" width="10" hidden="1" customWidth="1"/>
    <col min="64" max="64" width="10" customWidth="1"/>
  </cols>
  <sheetData>
    <row r="1" spans="1:63" x14ac:dyDescent="0.2">
      <c r="A1" s="193" t="s">
        <v>232</v>
      </c>
      <c r="B1" s="193"/>
      <c r="C1" s="193"/>
      <c r="D1" s="193"/>
      <c r="E1" s="193"/>
      <c r="F1" s="193"/>
      <c r="G1" s="193"/>
      <c r="H1" s="193"/>
      <c r="I1" s="48"/>
      <c r="J1" s="48"/>
      <c r="K1" s="48"/>
      <c r="L1" s="48"/>
      <c r="M1" s="48"/>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172"/>
      <c r="AS1" s="172"/>
      <c r="AT1" s="172"/>
      <c r="AU1" s="172"/>
      <c r="AV1" s="172"/>
      <c r="AW1" s="172"/>
      <c r="AX1" s="172"/>
      <c r="AY1" s="172"/>
      <c r="AZ1" s="172"/>
      <c r="BA1" s="172"/>
      <c r="BB1" s="172"/>
      <c r="BC1" s="15"/>
      <c r="BD1" s="15"/>
      <c r="BE1" s="15"/>
      <c r="BF1" s="15"/>
      <c r="BG1" s="15"/>
      <c r="BH1" s="15"/>
      <c r="BI1" s="15"/>
      <c r="BJ1" s="15"/>
      <c r="BK1" s="15"/>
    </row>
    <row r="2" spans="1:63" x14ac:dyDescent="0.2">
      <c r="A2" s="217" t="s">
        <v>240</v>
      </c>
      <c r="B2" s="217"/>
      <c r="C2" s="217"/>
      <c r="D2" s="217"/>
      <c r="E2" s="217"/>
      <c r="F2" s="217"/>
      <c r="G2" s="217"/>
      <c r="H2" s="217"/>
      <c r="I2" s="48"/>
      <c r="J2" s="48"/>
      <c r="K2" s="48"/>
      <c r="L2" s="48"/>
      <c r="M2" s="48"/>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172"/>
      <c r="AS2" s="172"/>
      <c r="AT2" s="172"/>
      <c r="AU2" s="172"/>
      <c r="AV2" s="172"/>
      <c r="AW2" s="172"/>
      <c r="AX2" s="172"/>
      <c r="AY2" s="172"/>
      <c r="AZ2" s="172"/>
      <c r="BA2" s="172"/>
      <c r="BB2" s="172"/>
      <c r="BC2" s="15"/>
      <c r="BD2" s="15"/>
      <c r="BE2" s="15"/>
      <c r="BF2" s="15"/>
      <c r="BG2" s="15"/>
      <c r="BH2" s="15"/>
      <c r="BI2" s="15"/>
      <c r="BJ2" s="15"/>
      <c r="BK2" s="15"/>
    </row>
    <row r="3" spans="1:63" x14ac:dyDescent="0.2">
      <c r="A3" s="218" t="s">
        <v>233</v>
      </c>
      <c r="B3" s="218"/>
      <c r="C3" s="218"/>
      <c r="D3" s="218"/>
      <c r="E3" s="218"/>
      <c r="F3" s="218"/>
      <c r="G3" s="218"/>
      <c r="H3" s="218"/>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row>
    <row r="4" spans="1:63" ht="22.5" customHeight="1" x14ac:dyDescent="0.2">
      <c r="A4" s="194" t="s">
        <v>13</v>
      </c>
      <c r="B4" s="195" t="s">
        <v>9</v>
      </c>
      <c r="C4" s="197" t="s">
        <v>12</v>
      </c>
      <c r="D4" s="198"/>
      <c r="E4" s="198"/>
      <c r="F4" s="198"/>
      <c r="G4" s="198"/>
      <c r="H4" s="198"/>
      <c r="I4" s="199"/>
      <c r="J4" s="2"/>
      <c r="K4" s="2"/>
      <c r="L4" s="194" t="s">
        <v>2</v>
      </c>
      <c r="M4" s="194"/>
      <c r="N4" s="221" t="s">
        <v>787</v>
      </c>
      <c r="O4" s="221"/>
      <c r="P4" s="221"/>
      <c r="Q4" s="221"/>
      <c r="R4" s="221"/>
      <c r="S4" s="221"/>
      <c r="T4" s="221"/>
      <c r="U4" s="221"/>
      <c r="V4" s="221"/>
      <c r="W4" s="221"/>
      <c r="X4" s="221"/>
      <c r="Y4" s="173"/>
      <c r="Z4" s="173"/>
      <c r="AA4" s="146"/>
      <c r="AB4" s="146"/>
      <c r="AC4" s="146"/>
      <c r="AD4" s="146"/>
      <c r="AE4" s="146"/>
      <c r="AF4" s="146"/>
      <c r="AG4" s="146"/>
      <c r="AH4" s="221" t="s">
        <v>794</v>
      </c>
      <c r="AI4" s="173"/>
      <c r="AJ4" s="173"/>
      <c r="AK4" s="146"/>
      <c r="AL4" s="146"/>
      <c r="AM4" s="146"/>
      <c r="AN4" s="146"/>
      <c r="AO4" s="146"/>
      <c r="AP4" s="146"/>
      <c r="AQ4" s="146"/>
      <c r="AR4" s="222" t="s">
        <v>311</v>
      </c>
      <c r="AS4" s="222"/>
      <c r="AT4" s="222"/>
      <c r="AU4" s="222"/>
      <c r="AV4" s="222"/>
      <c r="AW4" s="222"/>
      <c r="AX4" s="222"/>
      <c r="AY4" s="222"/>
      <c r="AZ4" s="222"/>
      <c r="BA4" s="222"/>
      <c r="BB4" s="222"/>
      <c r="BC4" s="18"/>
      <c r="BD4" s="18"/>
      <c r="BE4" s="18"/>
      <c r="BF4" s="18"/>
      <c r="BG4" s="18"/>
      <c r="BH4" s="18"/>
      <c r="BI4" s="18"/>
      <c r="BJ4" s="18"/>
      <c r="BK4" s="18"/>
    </row>
    <row r="5" spans="1:63" ht="41.25" customHeight="1" x14ac:dyDescent="0.2">
      <c r="A5" s="194"/>
      <c r="B5" s="195"/>
      <c r="C5" s="196" t="s">
        <v>8</v>
      </c>
      <c r="D5" s="196"/>
      <c r="E5" s="196"/>
      <c r="F5" s="196" t="s">
        <v>5</v>
      </c>
      <c r="G5" s="196"/>
      <c r="H5" s="196"/>
      <c r="I5" s="196" t="s">
        <v>179</v>
      </c>
      <c r="J5" s="196"/>
      <c r="K5" s="196"/>
      <c r="L5" s="194"/>
      <c r="M5" s="194"/>
      <c r="N5" s="221" t="s">
        <v>309</v>
      </c>
      <c r="O5" s="173"/>
      <c r="P5" s="173"/>
      <c r="Q5" s="174"/>
      <c r="R5" s="174"/>
      <c r="S5" s="174"/>
      <c r="T5" s="174"/>
      <c r="U5" s="174"/>
      <c r="V5" s="174"/>
      <c r="W5" s="174"/>
      <c r="X5" s="221" t="s">
        <v>310</v>
      </c>
      <c r="Y5" s="173"/>
      <c r="Z5" s="173"/>
      <c r="AA5" s="174"/>
      <c r="AB5" s="174"/>
      <c r="AC5" s="174"/>
      <c r="AD5" s="174"/>
      <c r="AE5" s="174"/>
      <c r="AF5" s="174"/>
      <c r="AG5" s="174"/>
      <c r="AH5" s="221"/>
      <c r="AI5" s="173"/>
      <c r="AJ5" s="173"/>
      <c r="AK5" s="174"/>
      <c r="AL5" s="174"/>
      <c r="AM5" s="174"/>
      <c r="AN5" s="174"/>
      <c r="AO5" s="174"/>
      <c r="AP5" s="174"/>
      <c r="AQ5" s="174"/>
      <c r="AR5" s="222"/>
      <c r="AS5" s="222"/>
      <c r="AT5" s="222"/>
      <c r="AU5" s="222"/>
      <c r="AV5" s="222"/>
      <c r="AW5" s="222"/>
      <c r="AX5" s="222"/>
      <c r="AY5" s="222"/>
      <c r="AZ5" s="222"/>
      <c r="BA5" s="222"/>
      <c r="BB5" s="222"/>
      <c r="BC5" s="6"/>
      <c r="BD5" s="6"/>
      <c r="BE5" s="6"/>
      <c r="BF5" s="6"/>
      <c r="BG5" s="6"/>
      <c r="BH5" s="6"/>
      <c r="BI5" s="6"/>
      <c r="BJ5" s="6"/>
      <c r="BK5" s="6"/>
    </row>
    <row r="6" spans="1:63" ht="53.25" customHeight="1" x14ac:dyDescent="0.2">
      <c r="A6" s="194"/>
      <c r="B6" s="195"/>
      <c r="C6" s="4" t="s">
        <v>14</v>
      </c>
      <c r="D6" s="4" t="s">
        <v>6</v>
      </c>
      <c r="E6" s="4" t="s">
        <v>7</v>
      </c>
      <c r="F6" s="4" t="s">
        <v>14</v>
      </c>
      <c r="G6" s="4" t="s">
        <v>6</v>
      </c>
      <c r="H6" s="4" t="s">
        <v>7</v>
      </c>
      <c r="I6" s="4" t="s">
        <v>14</v>
      </c>
      <c r="J6" s="4" t="s">
        <v>6</v>
      </c>
      <c r="K6" s="4" t="s">
        <v>7</v>
      </c>
      <c r="L6" s="5" t="s">
        <v>3</v>
      </c>
      <c r="M6" s="5" t="s">
        <v>4</v>
      </c>
      <c r="N6" s="221"/>
      <c r="O6" s="175" t="s">
        <v>28</v>
      </c>
      <c r="P6" s="175" t="s">
        <v>34</v>
      </c>
      <c r="Q6" s="175" t="s">
        <v>231</v>
      </c>
      <c r="R6" s="175" t="s">
        <v>46</v>
      </c>
      <c r="S6" s="175" t="s">
        <v>48</v>
      </c>
      <c r="T6" s="175" t="s">
        <v>49</v>
      </c>
      <c r="U6" s="175" t="s">
        <v>51</v>
      </c>
      <c r="V6" s="175" t="s">
        <v>53</v>
      </c>
      <c r="W6" s="175" t="s">
        <v>54</v>
      </c>
      <c r="X6" s="221"/>
      <c r="Y6" s="175" t="s">
        <v>28</v>
      </c>
      <c r="Z6" s="175" t="s">
        <v>34</v>
      </c>
      <c r="AA6" s="180" t="s">
        <v>231</v>
      </c>
      <c r="AB6" s="180" t="s">
        <v>46</v>
      </c>
      <c r="AC6" s="175" t="s">
        <v>48</v>
      </c>
      <c r="AD6" s="175" t="s">
        <v>49</v>
      </c>
      <c r="AE6" s="175" t="s">
        <v>51</v>
      </c>
      <c r="AF6" s="175" t="s">
        <v>53</v>
      </c>
      <c r="AG6" s="175" t="s">
        <v>54</v>
      </c>
      <c r="AH6" s="221"/>
      <c r="AI6" s="175" t="s">
        <v>28</v>
      </c>
      <c r="AJ6" s="175" t="s">
        <v>34</v>
      </c>
      <c r="AK6" s="180" t="s">
        <v>231</v>
      </c>
      <c r="AL6" s="180" t="s">
        <v>46</v>
      </c>
      <c r="AM6" s="175" t="s">
        <v>48</v>
      </c>
      <c r="AN6" s="175" t="s">
        <v>49</v>
      </c>
      <c r="AO6" s="175" t="s">
        <v>51</v>
      </c>
      <c r="AP6" s="175" t="s">
        <v>53</v>
      </c>
      <c r="AQ6" s="175" t="s">
        <v>54</v>
      </c>
      <c r="AR6" s="173" t="s">
        <v>789</v>
      </c>
      <c r="AS6" s="175" t="s">
        <v>28</v>
      </c>
      <c r="AT6" s="175" t="s">
        <v>34</v>
      </c>
      <c r="AU6" s="175" t="s">
        <v>231</v>
      </c>
      <c r="AV6" s="175" t="s">
        <v>46</v>
      </c>
      <c r="AW6" s="175" t="s">
        <v>48</v>
      </c>
      <c r="AX6" s="175" t="s">
        <v>49</v>
      </c>
      <c r="AY6" s="175" t="s">
        <v>51</v>
      </c>
      <c r="AZ6" s="175" t="s">
        <v>53</v>
      </c>
      <c r="BA6" s="175" t="s">
        <v>54</v>
      </c>
      <c r="BB6" s="173" t="s">
        <v>790</v>
      </c>
      <c r="BC6" s="16" t="s">
        <v>28</v>
      </c>
      <c r="BD6" s="16" t="s">
        <v>34</v>
      </c>
      <c r="BE6" s="16" t="s">
        <v>231</v>
      </c>
      <c r="BF6" s="16" t="s">
        <v>46</v>
      </c>
      <c r="BG6" s="16" t="s">
        <v>48</v>
      </c>
      <c r="BH6" s="16" t="s">
        <v>49</v>
      </c>
      <c r="BI6" s="16" t="s">
        <v>51</v>
      </c>
      <c r="BJ6" s="16" t="s">
        <v>53</v>
      </c>
      <c r="BK6" s="16" t="s">
        <v>54</v>
      </c>
    </row>
    <row r="7" spans="1:63" s="1" customFormat="1" x14ac:dyDescent="0.2">
      <c r="A7" s="3">
        <v>1</v>
      </c>
      <c r="B7" s="3">
        <v>2</v>
      </c>
      <c r="C7" s="3">
        <v>3</v>
      </c>
      <c r="D7" s="3">
        <v>4</v>
      </c>
      <c r="E7" s="3">
        <v>5</v>
      </c>
      <c r="F7" s="3">
        <v>6</v>
      </c>
      <c r="G7" s="3">
        <v>7</v>
      </c>
      <c r="H7" s="3">
        <v>8</v>
      </c>
      <c r="I7" s="3">
        <v>9</v>
      </c>
      <c r="J7" s="3">
        <v>10</v>
      </c>
      <c r="K7" s="3">
        <v>11</v>
      </c>
      <c r="L7" s="3">
        <v>12</v>
      </c>
      <c r="M7" s="3">
        <v>13</v>
      </c>
      <c r="N7" s="176">
        <v>17</v>
      </c>
      <c r="O7" s="176"/>
      <c r="P7" s="176"/>
      <c r="Q7" s="176"/>
      <c r="R7" s="176"/>
      <c r="S7" s="176"/>
      <c r="T7" s="176"/>
      <c r="U7" s="176"/>
      <c r="V7" s="176"/>
      <c r="W7" s="176"/>
      <c r="X7" s="176">
        <v>17</v>
      </c>
      <c r="Y7" s="176"/>
      <c r="Z7" s="176"/>
      <c r="AA7" s="176"/>
      <c r="AB7" s="176"/>
      <c r="AC7" s="176"/>
      <c r="AD7" s="176"/>
      <c r="AE7" s="176"/>
      <c r="AF7" s="176"/>
      <c r="AG7" s="176"/>
      <c r="AH7" s="176">
        <v>17</v>
      </c>
      <c r="AI7" s="176"/>
      <c r="AJ7" s="176"/>
      <c r="AK7" s="176"/>
      <c r="AL7" s="176"/>
      <c r="AM7" s="176"/>
      <c r="AN7" s="176"/>
      <c r="AO7" s="176"/>
      <c r="AP7" s="176"/>
      <c r="AQ7" s="176"/>
      <c r="AR7" s="176">
        <v>17</v>
      </c>
      <c r="AS7" s="176"/>
      <c r="AT7" s="176"/>
      <c r="AU7" s="176"/>
      <c r="AV7" s="176"/>
      <c r="AW7" s="176"/>
      <c r="AX7" s="176"/>
      <c r="AY7" s="176"/>
      <c r="AZ7" s="176"/>
      <c r="BA7" s="176"/>
      <c r="BB7" s="176">
        <v>17</v>
      </c>
      <c r="BC7" s="3"/>
      <c r="BD7" s="3"/>
      <c r="BE7" s="3"/>
      <c r="BF7" s="3"/>
      <c r="BG7" s="3"/>
      <c r="BH7" s="3"/>
      <c r="BI7" s="3"/>
      <c r="BJ7" s="3"/>
      <c r="BK7" s="3"/>
    </row>
    <row r="8" spans="1:63" ht="42" customHeight="1" x14ac:dyDescent="0.2">
      <c r="A8" s="60" t="s">
        <v>316</v>
      </c>
      <c r="B8" s="61" t="s">
        <v>315</v>
      </c>
      <c r="C8" s="60" t="s">
        <v>10</v>
      </c>
      <c r="D8" s="61" t="s">
        <v>10</v>
      </c>
      <c r="E8" s="61" t="s">
        <v>10</v>
      </c>
      <c r="F8" s="60" t="s">
        <v>10</v>
      </c>
      <c r="G8" s="61" t="s">
        <v>10</v>
      </c>
      <c r="H8" s="61" t="s">
        <v>10</v>
      </c>
      <c r="I8" s="60" t="s">
        <v>10</v>
      </c>
      <c r="J8" s="61" t="s">
        <v>10</v>
      </c>
      <c r="K8" s="61" t="s">
        <v>10</v>
      </c>
      <c r="L8" s="61" t="s">
        <v>10</v>
      </c>
      <c r="M8" s="61" t="s">
        <v>10</v>
      </c>
      <c r="N8" s="93">
        <f>SUM(O8:W8)</f>
        <v>92974.900000000009</v>
      </c>
      <c r="O8" s="93">
        <f t="shared" ref="O8:T8" si="0">O9+O17+O22+O25+O33</f>
        <v>25.5</v>
      </c>
      <c r="P8" s="93">
        <f t="shared" si="0"/>
        <v>1.5</v>
      </c>
      <c r="Q8" s="93">
        <f t="shared" si="0"/>
        <v>17594.199999999997</v>
      </c>
      <c r="R8" s="93">
        <f t="shared" si="0"/>
        <v>335</v>
      </c>
      <c r="S8" s="93">
        <f t="shared" si="0"/>
        <v>68963.900000000009</v>
      </c>
      <c r="T8" s="93">
        <f t="shared" si="0"/>
        <v>4351.5</v>
      </c>
      <c r="U8" s="93">
        <f>U9+U17+U22+U25+U33+U27</f>
        <v>347.5</v>
      </c>
      <c r="V8" s="93">
        <f>V9+V17+V22+V25+V33+V27</f>
        <v>67.099999999999994</v>
      </c>
      <c r="W8" s="93">
        <f>W9+W17+W22+W25+W33</f>
        <v>1288.7</v>
      </c>
      <c r="X8" s="93">
        <f>SUM(Y8:AG8)</f>
        <v>92966.8</v>
      </c>
      <c r="Y8" s="93">
        <f t="shared" ref="Y8:AD8" si="1">Y9+Y17+Y22+Y25+Y33</f>
        <v>25.5</v>
      </c>
      <c r="Z8" s="93">
        <f t="shared" si="1"/>
        <v>1.5</v>
      </c>
      <c r="AA8" s="93">
        <f t="shared" si="1"/>
        <v>17594.199999999997</v>
      </c>
      <c r="AB8" s="93">
        <f t="shared" si="1"/>
        <v>335</v>
      </c>
      <c r="AC8" s="93">
        <f t="shared" si="1"/>
        <v>68963.900000000009</v>
      </c>
      <c r="AD8" s="93">
        <f t="shared" si="1"/>
        <v>4343.3999999999996</v>
      </c>
      <c r="AE8" s="93">
        <f>AE9+AE17+AE22+AE25+AE33+AE27</f>
        <v>347.5</v>
      </c>
      <c r="AF8" s="93">
        <f>AF9+AF17+AF22+AF25+AF33+AF27</f>
        <v>67.099999999999994</v>
      </c>
      <c r="AG8" s="93">
        <f>AG9+AG17+AG22+AG25+AG33</f>
        <v>1288.7</v>
      </c>
      <c r="AH8" s="93">
        <f>SUM(AI8:AQ8)</f>
        <v>91006.39999999998</v>
      </c>
      <c r="AI8" s="93">
        <f t="shared" ref="AI8:AQ8" si="2">AI9+AI17+AI22+AI25+AI33</f>
        <v>96.5</v>
      </c>
      <c r="AJ8" s="93">
        <f t="shared" si="2"/>
        <v>0</v>
      </c>
      <c r="AK8" s="93">
        <f t="shared" si="2"/>
        <v>18484.099999999999</v>
      </c>
      <c r="AL8" s="93">
        <f>AL9+AL17+AL22+AL25+AL33</f>
        <v>434.5</v>
      </c>
      <c r="AM8" s="93">
        <f t="shared" si="2"/>
        <v>64902.099999999991</v>
      </c>
      <c r="AN8" s="93">
        <f t="shared" si="2"/>
        <v>5229.3999999999996</v>
      </c>
      <c r="AO8" s="93">
        <f>AO9+AO17+AO22+AO25+AO33+AO27</f>
        <v>425</v>
      </c>
      <c r="AP8" s="93">
        <f>AP9+AP17+AP22+AP25+AP33+AP27</f>
        <v>66</v>
      </c>
      <c r="AQ8" s="93">
        <f t="shared" si="2"/>
        <v>1368.8</v>
      </c>
      <c r="AR8" s="93">
        <f>SUM(AS8:BA8)</f>
        <v>87126.499999999985</v>
      </c>
      <c r="AS8" s="93">
        <f t="shared" ref="AS8:BA8" si="3">AS9+AS17+AS22+AS25+AS33</f>
        <v>100.3</v>
      </c>
      <c r="AT8" s="93">
        <f t="shared" si="3"/>
        <v>0</v>
      </c>
      <c r="AU8" s="93">
        <f>AU9+AU17+AU22+AU25+AU33</f>
        <v>18504.5</v>
      </c>
      <c r="AV8" s="93">
        <f t="shared" si="3"/>
        <v>439.6</v>
      </c>
      <c r="AW8" s="93">
        <f t="shared" si="3"/>
        <v>61069</v>
      </c>
      <c r="AX8" s="93">
        <f t="shared" si="3"/>
        <v>5229.3999999999996</v>
      </c>
      <c r="AY8" s="93">
        <f>AY9+AY17+AY22+AY25+AY33+AY27</f>
        <v>348.9</v>
      </c>
      <c r="AZ8" s="93">
        <f t="shared" si="3"/>
        <v>66</v>
      </c>
      <c r="BA8" s="93">
        <f t="shared" si="3"/>
        <v>1368.8</v>
      </c>
      <c r="BB8" s="93">
        <f t="shared" ref="BB8:BB16" si="4">SUM(BC8:BK8)</f>
        <v>87230.9</v>
      </c>
      <c r="BC8" s="62">
        <f t="shared" ref="BC8:BK8" si="5">BC9+BC17+BC22+BC25+BC33</f>
        <v>104.4</v>
      </c>
      <c r="BD8" s="62">
        <f t="shared" si="5"/>
        <v>0</v>
      </c>
      <c r="BE8" s="62">
        <f>BE9+BE17+BE22+BE25+BE33</f>
        <v>18525.400000000001</v>
      </c>
      <c r="BF8" s="62">
        <f t="shared" si="5"/>
        <v>444.8</v>
      </c>
      <c r="BG8" s="62">
        <f t="shared" si="5"/>
        <v>61143.199999999997</v>
      </c>
      <c r="BH8" s="62">
        <f t="shared" si="5"/>
        <v>5229.3999999999996</v>
      </c>
      <c r="BI8" s="62">
        <f>BI9+BI17+BI22+BI25+BI33+BI27</f>
        <v>348.9</v>
      </c>
      <c r="BJ8" s="62">
        <f t="shared" si="5"/>
        <v>66</v>
      </c>
      <c r="BK8" s="62">
        <f t="shared" si="5"/>
        <v>1368.8</v>
      </c>
    </row>
    <row r="9" spans="1:63" ht="52.5" x14ac:dyDescent="0.2">
      <c r="A9" s="60" t="s">
        <v>317</v>
      </c>
      <c r="B9" s="61">
        <v>2501</v>
      </c>
      <c r="C9" s="63" t="s">
        <v>10</v>
      </c>
      <c r="D9" s="64" t="s">
        <v>10</v>
      </c>
      <c r="E9" s="64" t="s">
        <v>10</v>
      </c>
      <c r="F9" s="63" t="s">
        <v>10</v>
      </c>
      <c r="G9" s="64" t="s">
        <v>10</v>
      </c>
      <c r="H9" s="64" t="s">
        <v>10</v>
      </c>
      <c r="I9" s="63" t="s">
        <v>10</v>
      </c>
      <c r="J9" s="64" t="s">
        <v>10</v>
      </c>
      <c r="K9" s="64" t="s">
        <v>10</v>
      </c>
      <c r="L9" s="64" t="s">
        <v>10</v>
      </c>
      <c r="M9" s="64" t="s">
        <v>10</v>
      </c>
      <c r="N9" s="93">
        <f>SUM(O9:W9)</f>
        <v>87903.200000000012</v>
      </c>
      <c r="O9" s="93">
        <f>SUM(O11:O14)</f>
        <v>25.5</v>
      </c>
      <c r="P9" s="93">
        <f>SUM(P10:P14)</f>
        <v>1.5</v>
      </c>
      <c r="Q9" s="93">
        <f>SUM(Q11:Q14)</f>
        <v>17594.199999999997</v>
      </c>
      <c r="R9" s="93">
        <f>SUM(R11:R16)</f>
        <v>335</v>
      </c>
      <c r="S9" s="93">
        <f>SUM(S11:S14)</f>
        <v>68963.900000000009</v>
      </c>
      <c r="T9" s="93">
        <f>SUM(T11:T14)</f>
        <v>916</v>
      </c>
      <c r="U9" s="93">
        <f>SUM(U11:U14)</f>
        <v>0</v>
      </c>
      <c r="V9" s="93">
        <f>SUM(V11:V15)</f>
        <v>67.099999999999994</v>
      </c>
      <c r="W9" s="93">
        <f>SUM(W11:W14)</f>
        <v>0</v>
      </c>
      <c r="X9" s="93">
        <f>SUM(Y9:AG9)</f>
        <v>87903.200000000012</v>
      </c>
      <c r="Y9" s="93">
        <f>SUM(Y11:Y14)</f>
        <v>25.5</v>
      </c>
      <c r="Z9" s="93">
        <f>SUM(Z10:Z14)</f>
        <v>1.5</v>
      </c>
      <c r="AA9" s="93">
        <f>SUM(AA11:AA14)</f>
        <v>17594.199999999997</v>
      </c>
      <c r="AB9" s="93">
        <f>SUM(AB11:AB16)</f>
        <v>335</v>
      </c>
      <c r="AC9" s="93">
        <f>SUM(AC11:AC14)</f>
        <v>68963.900000000009</v>
      </c>
      <c r="AD9" s="93">
        <f>SUM(AD11:AD14)</f>
        <v>916</v>
      </c>
      <c r="AE9" s="93">
        <f>SUM(AE11:AE14)</f>
        <v>0</v>
      </c>
      <c r="AF9" s="93">
        <f>SUM(AF11:AF15)</f>
        <v>67.099999999999994</v>
      </c>
      <c r="AG9" s="93">
        <f>SUM(AG11:AG14)</f>
        <v>0</v>
      </c>
      <c r="AH9" s="93">
        <f>SUM(AI9:AQ9)</f>
        <v>85528.199999999983</v>
      </c>
      <c r="AI9" s="93">
        <f>SUM(AI11:AI14)</f>
        <v>96.5</v>
      </c>
      <c r="AJ9" s="93">
        <f>SUM(AJ10:AJ14)</f>
        <v>0</v>
      </c>
      <c r="AK9" s="93">
        <f>SUM(AK11:AK14)</f>
        <v>18484.099999999999</v>
      </c>
      <c r="AL9" s="93">
        <f>SUM(AL11:AL16)</f>
        <v>434.5</v>
      </c>
      <c r="AM9" s="93">
        <f>SUM(AM11:AM14)</f>
        <v>64902.099999999991</v>
      </c>
      <c r="AN9" s="93">
        <f>SUM(AN11:AN14)</f>
        <v>1545</v>
      </c>
      <c r="AO9" s="93">
        <f>SUM(AO11:AO14)</f>
        <v>0</v>
      </c>
      <c r="AP9" s="93">
        <f>SUM(AP11:AP15)</f>
        <v>66</v>
      </c>
      <c r="AQ9" s="93">
        <f>SUM(AQ11:AQ14)</f>
        <v>0</v>
      </c>
      <c r="AR9" s="93">
        <f>SUM(AS9:BA9)</f>
        <v>81724.399999999994</v>
      </c>
      <c r="AS9" s="93">
        <f>SUM(AS10:AS14)</f>
        <v>100.3</v>
      </c>
      <c r="AT9" s="93">
        <f>SUM(AT10:AT14)</f>
        <v>0</v>
      </c>
      <c r="AU9" s="93">
        <f>SUM(AU11:AU14)</f>
        <v>18504.5</v>
      </c>
      <c r="AV9" s="93">
        <f>SUM(AV11:AV16)</f>
        <v>439.6</v>
      </c>
      <c r="AW9" s="93">
        <f>SUM(AW11:AW14)</f>
        <v>61069</v>
      </c>
      <c r="AX9" s="93">
        <f>SUM(AX11:AX14)</f>
        <v>1545</v>
      </c>
      <c r="AY9" s="93">
        <f>SUM(AY11:AY14)</f>
        <v>0</v>
      </c>
      <c r="AZ9" s="93">
        <f>SUM(AZ11:AZ15)</f>
        <v>66</v>
      </c>
      <c r="BA9" s="93">
        <f>SUM(BA11:BA14)</f>
        <v>0</v>
      </c>
      <c r="BB9" s="93">
        <f t="shared" si="4"/>
        <v>81828.800000000003</v>
      </c>
      <c r="BC9" s="62">
        <f t="shared" ref="BC9:BK9" si="6">SUM(BC10:BC14)</f>
        <v>104.4</v>
      </c>
      <c r="BD9" s="62">
        <f t="shared" si="6"/>
        <v>0</v>
      </c>
      <c r="BE9" s="62">
        <f>SUM(BE10:BE14)</f>
        <v>18525.400000000001</v>
      </c>
      <c r="BF9" s="62">
        <f>SUM(BF10:BF16)</f>
        <v>444.8</v>
      </c>
      <c r="BG9" s="62">
        <f t="shared" si="6"/>
        <v>61143.199999999997</v>
      </c>
      <c r="BH9" s="62">
        <f t="shared" si="6"/>
        <v>1545</v>
      </c>
      <c r="BI9" s="62">
        <f t="shared" si="6"/>
        <v>0</v>
      </c>
      <c r="BJ9" s="62">
        <f>SUM(BJ10:BJ15)</f>
        <v>66</v>
      </c>
      <c r="BK9" s="62">
        <f t="shared" si="6"/>
        <v>0</v>
      </c>
    </row>
    <row r="10" spans="1:63" s="147" customFormat="1" ht="45" x14ac:dyDescent="0.2">
      <c r="A10" s="86" t="s">
        <v>324</v>
      </c>
      <c r="B10" s="145" t="s">
        <v>513</v>
      </c>
      <c r="C10" s="146"/>
      <c r="D10" s="91"/>
      <c r="E10" s="91"/>
      <c r="F10" s="146"/>
      <c r="G10" s="91"/>
      <c r="H10" s="91"/>
      <c r="I10" s="146"/>
      <c r="J10" s="91"/>
      <c r="K10" s="91"/>
      <c r="L10" s="91"/>
      <c r="M10" s="91"/>
      <c r="N10" s="177">
        <f>SUM(O10:W10)</f>
        <v>1.5</v>
      </c>
      <c r="O10" s="93"/>
      <c r="P10" s="93">
        <v>1.5</v>
      </c>
      <c r="Q10" s="93"/>
      <c r="R10" s="93"/>
      <c r="S10" s="93"/>
      <c r="T10" s="93"/>
      <c r="U10" s="93"/>
      <c r="V10" s="93"/>
      <c r="W10" s="93"/>
      <c r="X10" s="177">
        <f>SUM(Y10:AG10)</f>
        <v>1.5</v>
      </c>
      <c r="Y10" s="93"/>
      <c r="Z10" s="93">
        <v>1.5</v>
      </c>
      <c r="AA10" s="93"/>
      <c r="AB10" s="93"/>
      <c r="AC10" s="93"/>
      <c r="AD10" s="93"/>
      <c r="AE10" s="93"/>
      <c r="AF10" s="93"/>
      <c r="AG10" s="93"/>
      <c r="AH10" s="177">
        <f>SUM(AI10:AQ10)</f>
        <v>0</v>
      </c>
      <c r="AI10" s="93"/>
      <c r="AJ10" s="93">
        <v>0</v>
      </c>
      <c r="AK10" s="93"/>
      <c r="AL10" s="93"/>
      <c r="AM10" s="93"/>
      <c r="AN10" s="93"/>
      <c r="AO10" s="93"/>
      <c r="AP10" s="93"/>
      <c r="AQ10" s="93"/>
      <c r="AR10" s="177">
        <f>SUM(AS10:BA10)</f>
        <v>0</v>
      </c>
      <c r="AS10" s="93"/>
      <c r="AT10" s="93">
        <v>0</v>
      </c>
      <c r="AU10" s="93"/>
      <c r="AV10" s="93"/>
      <c r="AW10" s="93"/>
      <c r="AX10" s="93"/>
      <c r="AY10" s="93"/>
      <c r="AZ10" s="93"/>
      <c r="BA10" s="93"/>
      <c r="BB10" s="177">
        <f t="shared" si="4"/>
        <v>0</v>
      </c>
      <c r="BC10" s="93"/>
      <c r="BD10" s="93">
        <v>0</v>
      </c>
      <c r="BE10" s="93"/>
      <c r="BF10" s="93"/>
      <c r="BG10" s="93"/>
      <c r="BH10" s="93"/>
      <c r="BI10" s="93"/>
      <c r="BJ10" s="93"/>
      <c r="BK10" s="93"/>
    </row>
    <row r="11" spans="1:63" ht="84" customHeight="1" x14ac:dyDescent="0.2">
      <c r="A11" s="86" t="s">
        <v>330</v>
      </c>
      <c r="B11" s="74">
        <v>2525</v>
      </c>
      <c r="C11" s="21" t="s">
        <v>75</v>
      </c>
      <c r="D11" s="21" t="s">
        <v>76</v>
      </c>
      <c r="E11" s="21" t="s">
        <v>162</v>
      </c>
      <c r="F11" s="21" t="s">
        <v>77</v>
      </c>
      <c r="G11" s="21" t="s">
        <v>78</v>
      </c>
      <c r="H11" s="21" t="s">
        <v>79</v>
      </c>
      <c r="I11" s="21" t="s">
        <v>221</v>
      </c>
      <c r="J11" s="21" t="s">
        <v>188</v>
      </c>
      <c r="K11" s="21" t="s">
        <v>222</v>
      </c>
      <c r="L11" s="17" t="s">
        <v>27</v>
      </c>
      <c r="M11" s="23" t="s">
        <v>147</v>
      </c>
      <c r="N11" s="177">
        <f>SUM(Q11:W11)</f>
        <v>17664.199999999997</v>
      </c>
      <c r="O11" s="177"/>
      <c r="P11" s="177"/>
      <c r="Q11" s="177">
        <f>17229.6+364.6</f>
        <v>17594.199999999997</v>
      </c>
      <c r="R11" s="177"/>
      <c r="S11" s="177"/>
      <c r="T11" s="177">
        <v>70</v>
      </c>
      <c r="U11" s="177"/>
      <c r="V11" s="177"/>
      <c r="W11" s="177"/>
      <c r="X11" s="177">
        <f>SUM(AA11:AG11)</f>
        <v>17664.199999999997</v>
      </c>
      <c r="Y11" s="177"/>
      <c r="Z11" s="177"/>
      <c r="AA11" s="177">
        <f>17229.6+364.6</f>
        <v>17594.199999999997</v>
      </c>
      <c r="AB11" s="177"/>
      <c r="AC11" s="177"/>
      <c r="AD11" s="177">
        <v>70</v>
      </c>
      <c r="AE11" s="177"/>
      <c r="AF11" s="177"/>
      <c r="AG11" s="177"/>
      <c r="AH11" s="177">
        <f>SUM(AK11:AQ11)</f>
        <v>18564.099999999999</v>
      </c>
      <c r="AI11" s="177"/>
      <c r="AJ11" s="177"/>
      <c r="AK11" s="177">
        <v>18484.099999999999</v>
      </c>
      <c r="AL11" s="177"/>
      <c r="AM11" s="177"/>
      <c r="AN11" s="177">
        <v>80</v>
      </c>
      <c r="AO11" s="177"/>
      <c r="AP11" s="177"/>
      <c r="AQ11" s="177"/>
      <c r="AR11" s="177">
        <f>SUM(AT11:BA11)</f>
        <v>18584.5</v>
      </c>
      <c r="AS11" s="177"/>
      <c r="AT11" s="177"/>
      <c r="AU11" s="177">
        <v>18504.5</v>
      </c>
      <c r="AV11" s="177"/>
      <c r="AW11" s="177"/>
      <c r="AX11" s="177">
        <v>80</v>
      </c>
      <c r="AY11" s="177"/>
      <c r="AZ11" s="177"/>
      <c r="BA11" s="177"/>
      <c r="BB11" s="177">
        <f t="shared" si="4"/>
        <v>18605.400000000001</v>
      </c>
      <c r="BC11" s="11"/>
      <c r="BD11" s="11"/>
      <c r="BE11" s="11">
        <v>18525.400000000001</v>
      </c>
      <c r="BF11" s="11"/>
      <c r="BG11" s="11"/>
      <c r="BH11" s="11">
        <v>80</v>
      </c>
      <c r="BI11" s="11"/>
      <c r="BJ11" s="11"/>
      <c r="BK11" s="11"/>
    </row>
    <row r="12" spans="1:63" ht="61.5" customHeight="1" x14ac:dyDescent="0.2">
      <c r="A12" s="86" t="s">
        <v>331</v>
      </c>
      <c r="B12" s="74">
        <v>2526</v>
      </c>
      <c r="C12" s="21"/>
      <c r="D12" s="21"/>
      <c r="E12" s="21"/>
      <c r="F12" s="21"/>
      <c r="G12" s="21"/>
      <c r="H12" s="21"/>
      <c r="I12" s="21"/>
      <c r="J12" s="21"/>
      <c r="K12" s="21"/>
      <c r="L12" s="17" t="s">
        <v>596</v>
      </c>
      <c r="M12" s="23" t="s">
        <v>27</v>
      </c>
      <c r="N12" s="177">
        <f>SUM(Q12:W12)</f>
        <v>120</v>
      </c>
      <c r="O12" s="177"/>
      <c r="P12" s="177"/>
      <c r="Q12" s="177"/>
      <c r="R12" s="177">
        <v>120</v>
      </c>
      <c r="S12" s="177"/>
      <c r="T12" s="177"/>
      <c r="U12" s="177"/>
      <c r="V12" s="177"/>
      <c r="W12" s="177"/>
      <c r="X12" s="177">
        <f>SUM(AA12:AG12)</f>
        <v>120</v>
      </c>
      <c r="Y12" s="177"/>
      <c r="Z12" s="177"/>
      <c r="AA12" s="177"/>
      <c r="AB12" s="177">
        <v>120</v>
      </c>
      <c r="AC12" s="177"/>
      <c r="AD12" s="177"/>
      <c r="AE12" s="177"/>
      <c r="AF12" s="177"/>
      <c r="AG12" s="177"/>
      <c r="AH12" s="177">
        <f>SUM(AK12:AQ12)</f>
        <v>127.5</v>
      </c>
      <c r="AI12" s="177"/>
      <c r="AJ12" s="177"/>
      <c r="AK12" s="177"/>
      <c r="AL12" s="177">
        <v>127.5</v>
      </c>
      <c r="AM12" s="177"/>
      <c r="AN12" s="177"/>
      <c r="AO12" s="177"/>
      <c r="AP12" s="177"/>
      <c r="AQ12" s="177"/>
      <c r="AR12" s="177">
        <f>SUM(AT12:BA12)</f>
        <v>132.6</v>
      </c>
      <c r="AS12" s="177"/>
      <c r="AT12" s="177"/>
      <c r="AU12" s="177"/>
      <c r="AV12" s="177">
        <v>132.6</v>
      </c>
      <c r="AW12" s="177"/>
      <c r="AX12" s="177"/>
      <c r="AY12" s="177"/>
      <c r="AZ12" s="177"/>
      <c r="BA12" s="177"/>
      <c r="BB12" s="177">
        <f t="shared" si="4"/>
        <v>137.80000000000001</v>
      </c>
      <c r="BC12" s="11"/>
      <c r="BD12" s="11"/>
      <c r="BE12" s="11"/>
      <c r="BF12" s="11">
        <v>137.80000000000001</v>
      </c>
      <c r="BG12" s="11"/>
      <c r="BH12" s="11"/>
      <c r="BI12" s="11"/>
      <c r="BJ12" s="11"/>
      <c r="BK12" s="11"/>
    </row>
    <row r="13" spans="1:63" ht="88.5" customHeight="1" x14ac:dyDescent="0.2">
      <c r="A13" s="86" t="s">
        <v>333</v>
      </c>
      <c r="B13" s="74">
        <v>2530</v>
      </c>
      <c r="C13" s="21" t="s">
        <v>89</v>
      </c>
      <c r="D13" s="21" t="s">
        <v>90</v>
      </c>
      <c r="E13" s="21" t="s">
        <v>166</v>
      </c>
      <c r="F13" s="21" t="s">
        <v>91</v>
      </c>
      <c r="G13" s="21" t="s">
        <v>92</v>
      </c>
      <c r="H13" s="21" t="s">
        <v>167</v>
      </c>
      <c r="I13" s="21" t="s">
        <v>200</v>
      </c>
      <c r="J13" s="21" t="s">
        <v>188</v>
      </c>
      <c r="K13" s="21" t="s">
        <v>201</v>
      </c>
      <c r="L13" s="17" t="s">
        <v>39</v>
      </c>
      <c r="M13" s="17" t="s">
        <v>20</v>
      </c>
      <c r="N13" s="177">
        <f>SUM(Q13:W13)</f>
        <v>17062.7</v>
      </c>
      <c r="O13" s="177"/>
      <c r="P13" s="177"/>
      <c r="Q13" s="177"/>
      <c r="R13" s="177"/>
      <c r="S13" s="177">
        <f>16298.7+500+264</f>
        <v>17062.7</v>
      </c>
      <c r="T13" s="177"/>
      <c r="U13" s="177"/>
      <c r="V13" s="177"/>
      <c r="W13" s="177"/>
      <c r="X13" s="177">
        <f>SUM(AA13:AG13)</f>
        <v>17062.7</v>
      </c>
      <c r="Y13" s="177"/>
      <c r="Z13" s="177"/>
      <c r="AA13" s="177"/>
      <c r="AB13" s="177"/>
      <c r="AC13" s="177">
        <f>16298.7+500+264</f>
        <v>17062.7</v>
      </c>
      <c r="AD13" s="177"/>
      <c r="AE13" s="177"/>
      <c r="AF13" s="177"/>
      <c r="AG13" s="177"/>
      <c r="AH13" s="177">
        <f>SUM(AK13:AQ13)</f>
        <v>17389.400000000001</v>
      </c>
      <c r="AI13" s="177"/>
      <c r="AJ13" s="177"/>
      <c r="AK13" s="177"/>
      <c r="AL13" s="177"/>
      <c r="AM13" s="177">
        <f>16889.4+500</f>
        <v>17389.400000000001</v>
      </c>
      <c r="AN13" s="177"/>
      <c r="AO13" s="177"/>
      <c r="AP13" s="177"/>
      <c r="AQ13" s="177"/>
      <c r="AR13" s="177">
        <f t="shared" ref="AR13:AR22" si="7">SUM(AV13:BA13)</f>
        <v>17442.900000000001</v>
      </c>
      <c r="AS13" s="177"/>
      <c r="AT13" s="177"/>
      <c r="AU13" s="177"/>
      <c r="AV13" s="177"/>
      <c r="AW13" s="177">
        <v>17442.900000000001</v>
      </c>
      <c r="AX13" s="177"/>
      <c r="AY13" s="177"/>
      <c r="AZ13" s="177"/>
      <c r="BA13" s="177"/>
      <c r="BB13" s="177">
        <f t="shared" si="4"/>
        <v>17498.2</v>
      </c>
      <c r="BC13" s="11"/>
      <c r="BD13" s="11"/>
      <c r="BE13" s="11"/>
      <c r="BF13" s="11"/>
      <c r="BG13" s="11">
        <v>17498.2</v>
      </c>
      <c r="BH13" s="11"/>
      <c r="BI13" s="11"/>
      <c r="BJ13" s="11"/>
      <c r="BK13" s="11"/>
    </row>
    <row r="14" spans="1:63" ht="105" customHeight="1" x14ac:dyDescent="0.2">
      <c r="A14" s="86" t="s">
        <v>334</v>
      </c>
      <c r="B14" s="104">
        <v>2531</v>
      </c>
      <c r="C14" s="21" t="s">
        <v>93</v>
      </c>
      <c r="D14" s="21" t="s">
        <v>94</v>
      </c>
      <c r="E14" s="21" t="s">
        <v>168</v>
      </c>
      <c r="F14" s="21" t="s">
        <v>95</v>
      </c>
      <c r="G14" s="21" t="s">
        <v>92</v>
      </c>
      <c r="H14" s="21" t="s">
        <v>169</v>
      </c>
      <c r="I14" s="21" t="s">
        <v>202</v>
      </c>
      <c r="J14" s="21" t="s">
        <v>203</v>
      </c>
      <c r="K14" s="21" t="s">
        <v>204</v>
      </c>
      <c r="L14" s="17" t="s">
        <v>39</v>
      </c>
      <c r="M14" s="17" t="s">
        <v>20</v>
      </c>
      <c r="N14" s="177">
        <f>SUM(O14:W14)</f>
        <v>52844.700000000004</v>
      </c>
      <c r="O14" s="177">
        <f>9+16.5</f>
        <v>25.5</v>
      </c>
      <c r="P14" s="177"/>
      <c r="Q14" s="177"/>
      <c r="R14" s="177">
        <v>72</v>
      </c>
      <c r="S14" s="177">
        <f>37719.4+1259.2+774.4+2418.3+4416.8+5102.5+210.6</f>
        <v>51901.200000000004</v>
      </c>
      <c r="T14" s="177">
        <v>846</v>
      </c>
      <c r="U14" s="177"/>
      <c r="V14" s="177"/>
      <c r="W14" s="177"/>
      <c r="X14" s="177">
        <f>SUM(Y14:AG14)</f>
        <v>52844.700000000004</v>
      </c>
      <c r="Y14" s="177">
        <f>9+16.5</f>
        <v>25.5</v>
      </c>
      <c r="Z14" s="177"/>
      <c r="AA14" s="177"/>
      <c r="AB14" s="177">
        <v>72</v>
      </c>
      <c r="AC14" s="177">
        <f>37719.4+1259.2+774.4+2418.3+4416.8+5102.5+210.6</f>
        <v>51901.200000000004</v>
      </c>
      <c r="AD14" s="177">
        <v>846</v>
      </c>
      <c r="AE14" s="177"/>
      <c r="AF14" s="177"/>
      <c r="AG14" s="177"/>
      <c r="AH14" s="177">
        <f>SUM(AI14:AQ14)</f>
        <v>49231.19999999999</v>
      </c>
      <c r="AI14" s="177">
        <v>96.5</v>
      </c>
      <c r="AJ14" s="177"/>
      <c r="AK14" s="177"/>
      <c r="AL14" s="177">
        <v>157</v>
      </c>
      <c r="AM14" s="177">
        <f>41891.1+1324.7+1428.7+2428.2+440</f>
        <v>47512.69999999999</v>
      </c>
      <c r="AN14" s="177">
        <v>1465</v>
      </c>
      <c r="AO14" s="177"/>
      <c r="AP14" s="177"/>
      <c r="AQ14" s="177"/>
      <c r="AR14" s="177">
        <f>SUM(AS14:BA14)</f>
        <v>45348.4</v>
      </c>
      <c r="AS14" s="177">
        <v>100.3</v>
      </c>
      <c r="AT14" s="177"/>
      <c r="AU14" s="177"/>
      <c r="AV14" s="177">
        <v>157</v>
      </c>
      <c r="AW14" s="177">
        <f>42099.4+1326.7+200</f>
        <v>43626.1</v>
      </c>
      <c r="AX14" s="177">
        <v>1465</v>
      </c>
      <c r="AY14" s="177"/>
      <c r="AZ14" s="177"/>
      <c r="BA14" s="177"/>
      <c r="BB14" s="177">
        <f t="shared" si="4"/>
        <v>45371.4</v>
      </c>
      <c r="BC14" s="11">
        <v>104.4</v>
      </c>
      <c r="BD14" s="11"/>
      <c r="BE14" s="11"/>
      <c r="BF14" s="11">
        <v>157</v>
      </c>
      <c r="BG14" s="11">
        <f>42316.2+1328.8</f>
        <v>43645</v>
      </c>
      <c r="BH14" s="11">
        <v>1465</v>
      </c>
      <c r="BI14" s="11"/>
      <c r="BJ14" s="11"/>
      <c r="BK14" s="11"/>
    </row>
    <row r="15" spans="1:63" ht="105" customHeight="1" x14ac:dyDescent="0.2">
      <c r="A15" s="86" t="s">
        <v>336</v>
      </c>
      <c r="B15" s="104">
        <v>2534</v>
      </c>
      <c r="C15" s="21"/>
      <c r="D15" s="21"/>
      <c r="E15" s="21"/>
      <c r="F15" s="21"/>
      <c r="G15" s="21"/>
      <c r="H15" s="21"/>
      <c r="I15" s="21"/>
      <c r="J15" s="21"/>
      <c r="K15" s="21"/>
      <c r="L15" s="17" t="s">
        <v>515</v>
      </c>
      <c r="M15" s="17" t="s">
        <v>20</v>
      </c>
      <c r="N15" s="177">
        <f>SUM(O15:W15)</f>
        <v>67.099999999999994</v>
      </c>
      <c r="O15" s="177"/>
      <c r="P15" s="177"/>
      <c r="Q15" s="177"/>
      <c r="R15" s="177"/>
      <c r="S15" s="177"/>
      <c r="T15" s="177"/>
      <c r="U15" s="177"/>
      <c r="V15" s="177">
        <v>67.099999999999994</v>
      </c>
      <c r="W15" s="177"/>
      <c r="X15" s="177">
        <f>SUM(Y15:AG15)</f>
        <v>67.099999999999994</v>
      </c>
      <c r="Y15" s="177"/>
      <c r="Z15" s="177"/>
      <c r="AA15" s="177"/>
      <c r="AB15" s="177"/>
      <c r="AC15" s="177"/>
      <c r="AD15" s="177"/>
      <c r="AE15" s="177"/>
      <c r="AF15" s="177">
        <v>67.099999999999994</v>
      </c>
      <c r="AG15" s="177"/>
      <c r="AH15" s="177">
        <f>SUM(AI15:AQ15)</f>
        <v>66</v>
      </c>
      <c r="AI15" s="177"/>
      <c r="AJ15" s="177"/>
      <c r="AK15" s="177"/>
      <c r="AL15" s="177"/>
      <c r="AM15" s="177"/>
      <c r="AN15" s="177"/>
      <c r="AO15" s="177"/>
      <c r="AP15" s="177">
        <v>66</v>
      </c>
      <c r="AQ15" s="177"/>
      <c r="AR15" s="177">
        <f>SUM(AS15:BA15)</f>
        <v>66</v>
      </c>
      <c r="AS15" s="177"/>
      <c r="AT15" s="177"/>
      <c r="AU15" s="177"/>
      <c r="AV15" s="177"/>
      <c r="AW15" s="177"/>
      <c r="AX15" s="177"/>
      <c r="AY15" s="177"/>
      <c r="AZ15" s="177">
        <v>66</v>
      </c>
      <c r="BA15" s="177"/>
      <c r="BB15" s="177">
        <f t="shared" si="4"/>
        <v>66</v>
      </c>
      <c r="BC15" s="11"/>
      <c r="BD15" s="11"/>
      <c r="BE15" s="11"/>
      <c r="BF15" s="11"/>
      <c r="BG15" s="11"/>
      <c r="BH15" s="11"/>
      <c r="BI15" s="11"/>
      <c r="BJ15" s="11">
        <v>66</v>
      </c>
      <c r="BK15" s="11"/>
    </row>
    <row r="16" spans="1:63" ht="44.25" customHeight="1" x14ac:dyDescent="0.2">
      <c r="A16" s="86" t="s">
        <v>346</v>
      </c>
      <c r="B16" s="74">
        <v>2555</v>
      </c>
      <c r="C16" s="21"/>
      <c r="D16" s="21"/>
      <c r="E16" s="21"/>
      <c r="F16" s="21"/>
      <c r="G16" s="21"/>
      <c r="H16" s="21"/>
      <c r="I16" s="21"/>
      <c r="J16" s="21"/>
      <c r="K16" s="21"/>
      <c r="L16" s="17" t="s">
        <v>27</v>
      </c>
      <c r="M16" s="17" t="s">
        <v>27</v>
      </c>
      <c r="N16" s="177">
        <f>SUM(O16:W16)</f>
        <v>143</v>
      </c>
      <c r="O16" s="177"/>
      <c r="P16" s="177"/>
      <c r="Q16" s="177"/>
      <c r="R16" s="177">
        <v>143</v>
      </c>
      <c r="S16" s="177"/>
      <c r="T16" s="177"/>
      <c r="U16" s="177"/>
      <c r="V16" s="177"/>
      <c r="W16" s="177"/>
      <c r="X16" s="177">
        <f>SUM(Y16:AG16)</f>
        <v>143</v>
      </c>
      <c r="Y16" s="177"/>
      <c r="Z16" s="177"/>
      <c r="AA16" s="177"/>
      <c r="AB16" s="177">
        <v>143</v>
      </c>
      <c r="AC16" s="177"/>
      <c r="AD16" s="177"/>
      <c r="AE16" s="177"/>
      <c r="AF16" s="177"/>
      <c r="AG16" s="177"/>
      <c r="AH16" s="177">
        <f>SUM(AI16:AQ16)</f>
        <v>150</v>
      </c>
      <c r="AI16" s="177"/>
      <c r="AJ16" s="177"/>
      <c r="AK16" s="177"/>
      <c r="AL16" s="177">
        <v>150</v>
      </c>
      <c r="AM16" s="177"/>
      <c r="AN16" s="177"/>
      <c r="AO16" s="177"/>
      <c r="AP16" s="177"/>
      <c r="AQ16" s="177"/>
      <c r="AR16" s="177">
        <f>SUM(AS16:BA16)</f>
        <v>150</v>
      </c>
      <c r="AS16" s="177"/>
      <c r="AT16" s="177"/>
      <c r="AU16" s="177"/>
      <c r="AV16" s="177">
        <v>150</v>
      </c>
      <c r="AW16" s="177"/>
      <c r="AX16" s="177"/>
      <c r="AY16" s="177"/>
      <c r="AZ16" s="177"/>
      <c r="BA16" s="177"/>
      <c r="BB16" s="177">
        <f t="shared" si="4"/>
        <v>150</v>
      </c>
      <c r="BC16" s="11"/>
      <c r="BD16" s="11"/>
      <c r="BE16" s="11"/>
      <c r="BF16" s="11">
        <v>150</v>
      </c>
      <c r="BG16" s="11"/>
      <c r="BH16" s="11"/>
      <c r="BI16" s="11"/>
      <c r="BJ16" s="11"/>
      <c r="BK16" s="11"/>
    </row>
    <row r="17" spans="1:63" ht="73.5" x14ac:dyDescent="0.2">
      <c r="A17" s="60" t="s">
        <v>349</v>
      </c>
      <c r="B17" s="64" t="s">
        <v>350</v>
      </c>
      <c r="C17" s="66" t="s">
        <v>10</v>
      </c>
      <c r="D17" s="67" t="s">
        <v>10</v>
      </c>
      <c r="E17" s="67" t="s">
        <v>10</v>
      </c>
      <c r="F17" s="66" t="s">
        <v>10</v>
      </c>
      <c r="G17" s="67" t="s">
        <v>10</v>
      </c>
      <c r="H17" s="67" t="s">
        <v>10</v>
      </c>
      <c r="I17" s="66" t="s">
        <v>10</v>
      </c>
      <c r="J17" s="67" t="s">
        <v>10</v>
      </c>
      <c r="K17" s="67" t="s">
        <v>10</v>
      </c>
      <c r="L17" s="64" t="s">
        <v>10</v>
      </c>
      <c r="M17" s="64" t="s">
        <v>10</v>
      </c>
      <c r="N17" s="93">
        <f t="shared" ref="N17:N22" si="8">SUM(Q17:W17)</f>
        <v>4743.8</v>
      </c>
      <c r="O17" s="93"/>
      <c r="P17" s="93"/>
      <c r="Q17" s="93">
        <f t="shared" ref="Q17:W17" si="9">SUM(Q18:Q21)</f>
        <v>0</v>
      </c>
      <c r="R17" s="93">
        <f t="shared" si="9"/>
        <v>0</v>
      </c>
      <c r="S17" s="93">
        <f t="shared" si="9"/>
        <v>0</v>
      </c>
      <c r="T17" s="93">
        <f t="shared" si="9"/>
        <v>3435.5</v>
      </c>
      <c r="U17" s="93">
        <f t="shared" si="9"/>
        <v>19.600000000000001</v>
      </c>
      <c r="V17" s="93">
        <f t="shared" si="9"/>
        <v>0</v>
      </c>
      <c r="W17" s="93">
        <f t="shared" si="9"/>
        <v>1288.7</v>
      </c>
      <c r="X17" s="93">
        <f t="shared" ref="X17:X22" si="10">SUM(AA17:AG17)</f>
        <v>4735.7</v>
      </c>
      <c r="Y17" s="93"/>
      <c r="Z17" s="93"/>
      <c r="AA17" s="93">
        <f t="shared" ref="AA17:AG17" si="11">SUM(AA18:AA21)</f>
        <v>0</v>
      </c>
      <c r="AB17" s="93">
        <f t="shared" si="11"/>
        <v>0</v>
      </c>
      <c r="AC17" s="93">
        <f t="shared" si="11"/>
        <v>0</v>
      </c>
      <c r="AD17" s="93">
        <f t="shared" si="11"/>
        <v>3427.4</v>
      </c>
      <c r="AE17" s="93">
        <f t="shared" si="11"/>
        <v>19.600000000000001</v>
      </c>
      <c r="AF17" s="93">
        <f t="shared" si="11"/>
        <v>0</v>
      </c>
      <c r="AG17" s="93">
        <f t="shared" si="11"/>
        <v>1288.7</v>
      </c>
      <c r="AH17" s="93">
        <f t="shared" ref="AH17:AH22" si="12">SUM(AK17:AQ17)</f>
        <v>5098.6000000000004</v>
      </c>
      <c r="AI17" s="93"/>
      <c r="AJ17" s="93"/>
      <c r="AK17" s="93">
        <f t="shared" ref="AK17:AQ17" si="13">SUM(AK18:AK21)</f>
        <v>0</v>
      </c>
      <c r="AL17" s="93">
        <f>SUM(AL18:AL21)</f>
        <v>0</v>
      </c>
      <c r="AM17" s="93">
        <f t="shared" si="13"/>
        <v>0</v>
      </c>
      <c r="AN17" s="93">
        <f t="shared" si="13"/>
        <v>3684.4</v>
      </c>
      <c r="AO17" s="93">
        <f t="shared" si="13"/>
        <v>45.4</v>
      </c>
      <c r="AP17" s="93">
        <f t="shared" si="13"/>
        <v>0</v>
      </c>
      <c r="AQ17" s="93">
        <f t="shared" si="13"/>
        <v>1368.8</v>
      </c>
      <c r="AR17" s="93">
        <f t="shared" si="7"/>
        <v>5053.2</v>
      </c>
      <c r="AS17" s="93"/>
      <c r="AT17" s="93"/>
      <c r="AU17" s="93">
        <f>SUM(AU18:AU21)</f>
        <v>0</v>
      </c>
      <c r="AV17" s="93">
        <f t="shared" ref="AV17:BA17" si="14">SUM(AV18:AV21)</f>
        <v>0</v>
      </c>
      <c r="AW17" s="93">
        <f t="shared" si="14"/>
        <v>0</v>
      </c>
      <c r="AX17" s="93">
        <f t="shared" si="14"/>
        <v>3684.4</v>
      </c>
      <c r="AY17" s="93">
        <f t="shared" si="14"/>
        <v>0</v>
      </c>
      <c r="AZ17" s="93">
        <f t="shared" si="14"/>
        <v>0</v>
      </c>
      <c r="BA17" s="93">
        <f t="shared" si="14"/>
        <v>1368.8</v>
      </c>
      <c r="BB17" s="93">
        <f t="shared" ref="BB17:BB22" si="15">SUM(BF17:BK17)</f>
        <v>5053.2</v>
      </c>
      <c r="BC17" s="62">
        <f t="shared" ref="BC17:BK17" si="16">SUM(BC18:BC21)</f>
        <v>0</v>
      </c>
      <c r="BD17" s="62">
        <f t="shared" si="16"/>
        <v>0</v>
      </c>
      <c r="BE17" s="62">
        <f>SUM(BE18:BE21)</f>
        <v>0</v>
      </c>
      <c r="BF17" s="62">
        <f t="shared" si="16"/>
        <v>0</v>
      </c>
      <c r="BG17" s="62">
        <f t="shared" si="16"/>
        <v>0</v>
      </c>
      <c r="BH17" s="62">
        <f t="shared" si="16"/>
        <v>3684.4</v>
      </c>
      <c r="BI17" s="62">
        <f t="shared" si="16"/>
        <v>0</v>
      </c>
      <c r="BJ17" s="62">
        <f t="shared" si="16"/>
        <v>0</v>
      </c>
      <c r="BK17" s="62">
        <f t="shared" si="16"/>
        <v>1368.8</v>
      </c>
    </row>
    <row r="18" spans="1:63" ht="57" customHeight="1" x14ac:dyDescent="0.2">
      <c r="A18" s="86" t="s">
        <v>351</v>
      </c>
      <c r="B18" s="8">
        <v>2601</v>
      </c>
      <c r="C18" s="21" t="s">
        <v>109</v>
      </c>
      <c r="D18" s="21" t="s">
        <v>150</v>
      </c>
      <c r="E18" s="21" t="s">
        <v>174</v>
      </c>
      <c r="F18" s="21" t="s">
        <v>181</v>
      </c>
      <c r="G18" s="21" t="s">
        <v>63</v>
      </c>
      <c r="H18" s="21" t="s">
        <v>182</v>
      </c>
      <c r="I18" s="21" t="s">
        <v>217</v>
      </c>
      <c r="J18" s="21" t="s">
        <v>218</v>
      </c>
      <c r="K18" s="21" t="s">
        <v>219</v>
      </c>
      <c r="L18" s="23" t="s">
        <v>144</v>
      </c>
      <c r="M18" s="23" t="s">
        <v>151</v>
      </c>
      <c r="N18" s="177">
        <f t="shared" si="8"/>
        <v>938.7</v>
      </c>
      <c r="O18" s="177"/>
      <c r="P18" s="177"/>
      <c r="Q18" s="177"/>
      <c r="R18" s="177"/>
      <c r="S18" s="177"/>
      <c r="T18" s="177">
        <v>919.1</v>
      </c>
      <c r="U18" s="177">
        <v>19.600000000000001</v>
      </c>
      <c r="V18" s="177"/>
      <c r="W18" s="177"/>
      <c r="X18" s="177">
        <f t="shared" si="10"/>
        <v>937.6</v>
      </c>
      <c r="Y18" s="177"/>
      <c r="Z18" s="177"/>
      <c r="AA18" s="177"/>
      <c r="AB18" s="177"/>
      <c r="AC18" s="177"/>
      <c r="AD18" s="177">
        <v>918</v>
      </c>
      <c r="AE18" s="177">
        <v>19.600000000000001</v>
      </c>
      <c r="AF18" s="177"/>
      <c r="AG18" s="177"/>
      <c r="AH18" s="177">
        <f t="shared" si="12"/>
        <v>976.4</v>
      </c>
      <c r="AI18" s="177"/>
      <c r="AJ18" s="177"/>
      <c r="AK18" s="177"/>
      <c r="AL18" s="177"/>
      <c r="AM18" s="177"/>
      <c r="AN18" s="177">
        <v>931</v>
      </c>
      <c r="AO18" s="177">
        <v>45.4</v>
      </c>
      <c r="AP18" s="177"/>
      <c r="AQ18" s="177"/>
      <c r="AR18" s="177">
        <f t="shared" si="7"/>
        <v>931</v>
      </c>
      <c r="AS18" s="177"/>
      <c r="AT18" s="177"/>
      <c r="AU18" s="177"/>
      <c r="AV18" s="177"/>
      <c r="AW18" s="177"/>
      <c r="AX18" s="177">
        <v>931</v>
      </c>
      <c r="AY18" s="177">
        <v>0</v>
      </c>
      <c r="AZ18" s="177"/>
      <c r="BA18" s="177"/>
      <c r="BB18" s="177">
        <f t="shared" si="15"/>
        <v>931</v>
      </c>
      <c r="BC18" s="11"/>
      <c r="BD18" s="11"/>
      <c r="BE18" s="11"/>
      <c r="BF18" s="11"/>
      <c r="BG18" s="11"/>
      <c r="BH18" s="177">
        <v>931</v>
      </c>
      <c r="BI18" s="11"/>
      <c r="BJ18" s="11"/>
      <c r="BK18" s="11"/>
    </row>
    <row r="19" spans="1:63" ht="57" customHeight="1" x14ac:dyDescent="0.2">
      <c r="A19" s="86" t="s">
        <v>352</v>
      </c>
      <c r="B19" s="8">
        <v>2602</v>
      </c>
      <c r="C19" s="21"/>
      <c r="D19" s="21"/>
      <c r="E19" s="21"/>
      <c r="F19" s="21"/>
      <c r="G19" s="21"/>
      <c r="H19" s="21"/>
      <c r="I19" s="21"/>
      <c r="J19" s="21"/>
      <c r="K19" s="21"/>
      <c r="L19" s="23"/>
      <c r="M19" s="23"/>
      <c r="N19" s="177">
        <f t="shared" si="8"/>
        <v>2505.4</v>
      </c>
      <c r="O19" s="177"/>
      <c r="P19" s="177"/>
      <c r="Q19" s="177"/>
      <c r="R19" s="177"/>
      <c r="S19" s="177"/>
      <c r="T19" s="177">
        <v>2505.4</v>
      </c>
      <c r="U19" s="177"/>
      <c r="V19" s="177"/>
      <c r="W19" s="177"/>
      <c r="X19" s="177">
        <f t="shared" si="10"/>
        <v>2505.4</v>
      </c>
      <c r="Y19" s="177"/>
      <c r="Z19" s="177"/>
      <c r="AA19" s="177"/>
      <c r="AB19" s="177"/>
      <c r="AC19" s="177"/>
      <c r="AD19" s="177">
        <v>2505.4</v>
      </c>
      <c r="AE19" s="177"/>
      <c r="AF19" s="177"/>
      <c r="AG19" s="177"/>
      <c r="AH19" s="177">
        <f t="shared" si="12"/>
        <v>2753.4</v>
      </c>
      <c r="AI19" s="177"/>
      <c r="AJ19" s="177"/>
      <c r="AK19" s="177"/>
      <c r="AL19" s="177"/>
      <c r="AM19" s="177"/>
      <c r="AN19" s="177">
        <v>2753.4</v>
      </c>
      <c r="AO19" s="177"/>
      <c r="AP19" s="177"/>
      <c r="AQ19" s="177"/>
      <c r="AR19" s="177">
        <f t="shared" si="7"/>
        <v>2753.4</v>
      </c>
      <c r="AS19" s="177"/>
      <c r="AT19" s="177"/>
      <c r="AU19" s="177"/>
      <c r="AV19" s="177"/>
      <c r="AW19" s="177"/>
      <c r="AX19" s="177">
        <v>2753.4</v>
      </c>
      <c r="AY19" s="177"/>
      <c r="AZ19" s="177"/>
      <c r="BA19" s="177"/>
      <c r="BB19" s="177">
        <f t="shared" si="15"/>
        <v>2753.4</v>
      </c>
      <c r="BC19" s="11"/>
      <c r="BD19" s="11"/>
      <c r="BE19" s="11"/>
      <c r="BF19" s="11"/>
      <c r="BG19" s="11"/>
      <c r="BH19" s="177">
        <v>2753.4</v>
      </c>
      <c r="BI19" s="11"/>
      <c r="BJ19" s="11"/>
      <c r="BK19" s="11"/>
    </row>
    <row r="20" spans="1:63" ht="101.25" x14ac:dyDescent="0.2">
      <c r="A20" s="86" t="s">
        <v>355</v>
      </c>
      <c r="B20" s="74">
        <v>2617</v>
      </c>
      <c r="C20" s="21" t="s">
        <v>111</v>
      </c>
      <c r="D20" s="21" t="s">
        <v>112</v>
      </c>
      <c r="E20" s="21" t="s">
        <v>176</v>
      </c>
      <c r="F20" s="41"/>
      <c r="G20" s="41"/>
      <c r="H20" s="41"/>
      <c r="I20" s="21" t="s">
        <v>210</v>
      </c>
      <c r="J20" s="21" t="s">
        <v>63</v>
      </c>
      <c r="K20" s="21" t="s">
        <v>196</v>
      </c>
      <c r="L20" s="17" t="s">
        <v>140</v>
      </c>
      <c r="M20" s="17" t="s">
        <v>141</v>
      </c>
      <c r="N20" s="177">
        <f t="shared" si="8"/>
        <v>1288.7</v>
      </c>
      <c r="O20" s="177"/>
      <c r="P20" s="177"/>
      <c r="Q20" s="177"/>
      <c r="R20" s="177"/>
      <c r="S20" s="177"/>
      <c r="T20" s="177"/>
      <c r="U20" s="177"/>
      <c r="V20" s="177"/>
      <c r="W20" s="177">
        <v>1288.7</v>
      </c>
      <c r="X20" s="177">
        <f t="shared" si="10"/>
        <v>1288.7</v>
      </c>
      <c r="Y20" s="177"/>
      <c r="Z20" s="177"/>
      <c r="AA20" s="177"/>
      <c r="AB20" s="177"/>
      <c r="AC20" s="177"/>
      <c r="AD20" s="177"/>
      <c r="AE20" s="177"/>
      <c r="AF20" s="177"/>
      <c r="AG20" s="177">
        <v>1288.7</v>
      </c>
      <c r="AH20" s="177">
        <f t="shared" si="12"/>
        <v>1368.8</v>
      </c>
      <c r="AI20" s="177"/>
      <c r="AJ20" s="177"/>
      <c r="AK20" s="177"/>
      <c r="AL20" s="177"/>
      <c r="AM20" s="177"/>
      <c r="AN20" s="177"/>
      <c r="AO20" s="177"/>
      <c r="AP20" s="177"/>
      <c r="AQ20" s="177">
        <v>1368.8</v>
      </c>
      <c r="AR20" s="177">
        <f t="shared" si="7"/>
        <v>1368.8</v>
      </c>
      <c r="AS20" s="177"/>
      <c r="AT20" s="177"/>
      <c r="AU20" s="177"/>
      <c r="AV20" s="177"/>
      <c r="AW20" s="177"/>
      <c r="AX20" s="177"/>
      <c r="AY20" s="177"/>
      <c r="AZ20" s="177"/>
      <c r="BA20" s="177">
        <v>1368.8</v>
      </c>
      <c r="BB20" s="177">
        <f t="shared" si="15"/>
        <v>1368.8</v>
      </c>
      <c r="BC20" s="11"/>
      <c r="BD20" s="11"/>
      <c r="BE20" s="11"/>
      <c r="BF20" s="11"/>
      <c r="BG20" s="11"/>
      <c r="BH20" s="11"/>
      <c r="BI20" s="11"/>
      <c r="BJ20" s="11"/>
      <c r="BK20" s="11">
        <v>1368.8</v>
      </c>
    </row>
    <row r="21" spans="1:63" ht="123.75" x14ac:dyDescent="0.2">
      <c r="A21" s="86" t="s">
        <v>356</v>
      </c>
      <c r="B21" s="74">
        <v>2619</v>
      </c>
      <c r="C21" s="21" t="s">
        <v>113</v>
      </c>
      <c r="D21" s="21" t="s">
        <v>114</v>
      </c>
      <c r="E21" s="21" t="s">
        <v>177</v>
      </c>
      <c r="F21" s="41"/>
      <c r="G21" s="41"/>
      <c r="H21" s="41"/>
      <c r="I21" s="41"/>
      <c r="J21" s="41"/>
      <c r="K21" s="41"/>
      <c r="L21" s="23" t="s">
        <v>20</v>
      </c>
      <c r="M21" s="24" t="s">
        <v>139</v>
      </c>
      <c r="N21" s="177">
        <f t="shared" si="8"/>
        <v>11</v>
      </c>
      <c r="O21" s="177"/>
      <c r="P21" s="177"/>
      <c r="Q21" s="177"/>
      <c r="R21" s="177"/>
      <c r="S21" s="177"/>
      <c r="T21" s="177">
        <v>11</v>
      </c>
      <c r="U21" s="177"/>
      <c r="V21" s="177"/>
      <c r="W21" s="177"/>
      <c r="X21" s="177">
        <f t="shared" si="10"/>
        <v>4</v>
      </c>
      <c r="Y21" s="177"/>
      <c r="Z21" s="177"/>
      <c r="AA21" s="177"/>
      <c r="AB21" s="177"/>
      <c r="AC21" s="177"/>
      <c r="AD21" s="177">
        <v>4</v>
      </c>
      <c r="AE21" s="177"/>
      <c r="AF21" s="177"/>
      <c r="AG21" s="177"/>
      <c r="AH21" s="177">
        <f t="shared" si="12"/>
        <v>0</v>
      </c>
      <c r="AI21" s="177"/>
      <c r="AJ21" s="177"/>
      <c r="AK21" s="177"/>
      <c r="AL21" s="177"/>
      <c r="AM21" s="177"/>
      <c r="AN21" s="177">
        <v>0</v>
      </c>
      <c r="AO21" s="177"/>
      <c r="AP21" s="177"/>
      <c r="AQ21" s="177"/>
      <c r="AR21" s="177">
        <f t="shared" si="7"/>
        <v>0</v>
      </c>
      <c r="AS21" s="177"/>
      <c r="AT21" s="177"/>
      <c r="AU21" s="177"/>
      <c r="AV21" s="177"/>
      <c r="AW21" s="177"/>
      <c r="AX21" s="177">
        <v>0</v>
      </c>
      <c r="AY21" s="177"/>
      <c r="AZ21" s="177"/>
      <c r="BA21" s="177"/>
      <c r="BB21" s="177">
        <f t="shared" si="15"/>
        <v>0</v>
      </c>
      <c r="BC21" s="11"/>
      <c r="BD21" s="11"/>
      <c r="BE21" s="11"/>
      <c r="BF21" s="11"/>
      <c r="BG21" s="11"/>
      <c r="BH21" s="11">
        <v>0</v>
      </c>
      <c r="BI21" s="11"/>
      <c r="BJ21" s="11"/>
      <c r="BK21" s="11"/>
    </row>
    <row r="22" spans="1:63" ht="73.5" x14ac:dyDescent="0.2">
      <c r="A22" s="60" t="s">
        <v>358</v>
      </c>
      <c r="B22" s="61" t="s">
        <v>357</v>
      </c>
      <c r="C22" s="66" t="s">
        <v>10</v>
      </c>
      <c r="D22" s="67" t="s">
        <v>10</v>
      </c>
      <c r="E22" s="67" t="s">
        <v>10</v>
      </c>
      <c r="F22" s="66" t="s">
        <v>10</v>
      </c>
      <c r="G22" s="67" t="s">
        <v>10</v>
      </c>
      <c r="H22" s="67" t="s">
        <v>10</v>
      </c>
      <c r="I22" s="66" t="s">
        <v>10</v>
      </c>
      <c r="J22" s="67" t="s">
        <v>10</v>
      </c>
      <c r="K22" s="67" t="s">
        <v>10</v>
      </c>
      <c r="L22" s="64" t="s">
        <v>10</v>
      </c>
      <c r="M22" s="64" t="s">
        <v>10</v>
      </c>
      <c r="N22" s="93">
        <f t="shared" si="8"/>
        <v>0</v>
      </c>
      <c r="O22" s="93"/>
      <c r="P22" s="93"/>
      <c r="Q22" s="93">
        <f t="shared" ref="Q22:W22" si="17">Q23+Q24+Q25+Q26</f>
        <v>0</v>
      </c>
      <c r="R22" s="93">
        <f t="shared" si="17"/>
        <v>0</v>
      </c>
      <c r="S22" s="93">
        <f t="shared" si="17"/>
        <v>0</v>
      </c>
      <c r="T22" s="93">
        <f t="shared" si="17"/>
        <v>0</v>
      </c>
      <c r="U22" s="93">
        <f t="shared" si="17"/>
        <v>0</v>
      </c>
      <c r="V22" s="93">
        <f t="shared" si="17"/>
        <v>0</v>
      </c>
      <c r="W22" s="93">
        <f t="shared" si="17"/>
        <v>0</v>
      </c>
      <c r="X22" s="93">
        <f t="shared" si="10"/>
        <v>0</v>
      </c>
      <c r="Y22" s="93"/>
      <c r="Z22" s="93"/>
      <c r="AA22" s="93">
        <f t="shared" ref="AA22:AG22" si="18">AA23+AA24+AA25+AA26</f>
        <v>0</v>
      </c>
      <c r="AB22" s="93">
        <f t="shared" si="18"/>
        <v>0</v>
      </c>
      <c r="AC22" s="93">
        <f t="shared" si="18"/>
        <v>0</v>
      </c>
      <c r="AD22" s="93">
        <f t="shared" si="18"/>
        <v>0</v>
      </c>
      <c r="AE22" s="93">
        <f t="shared" si="18"/>
        <v>0</v>
      </c>
      <c r="AF22" s="93">
        <f t="shared" si="18"/>
        <v>0</v>
      </c>
      <c r="AG22" s="93">
        <f t="shared" si="18"/>
        <v>0</v>
      </c>
      <c r="AH22" s="93">
        <f t="shared" si="12"/>
        <v>0</v>
      </c>
      <c r="AI22" s="93"/>
      <c r="AJ22" s="93"/>
      <c r="AK22" s="93">
        <f t="shared" ref="AK22:AQ22" si="19">AK23+AK24+AK25+AK26</f>
        <v>0</v>
      </c>
      <c r="AL22" s="93">
        <f>AL23+AL24+AL25+AL26</f>
        <v>0</v>
      </c>
      <c r="AM22" s="93">
        <f t="shared" si="19"/>
        <v>0</v>
      </c>
      <c r="AN22" s="93">
        <f t="shared" si="19"/>
        <v>0</v>
      </c>
      <c r="AO22" s="93">
        <f t="shared" si="19"/>
        <v>0</v>
      </c>
      <c r="AP22" s="93">
        <f t="shared" si="19"/>
        <v>0</v>
      </c>
      <c r="AQ22" s="93">
        <f t="shared" si="19"/>
        <v>0</v>
      </c>
      <c r="AR22" s="93">
        <f t="shared" si="7"/>
        <v>0</v>
      </c>
      <c r="AS22" s="93"/>
      <c r="AT22" s="93"/>
      <c r="AU22" s="93">
        <f>AU23+AU24+AU25+AU26</f>
        <v>0</v>
      </c>
      <c r="AV22" s="93">
        <f t="shared" ref="AV22:BA22" si="20">AV23+AV24+AV25+AV26</f>
        <v>0</v>
      </c>
      <c r="AW22" s="93">
        <f t="shared" si="20"/>
        <v>0</v>
      </c>
      <c r="AX22" s="93">
        <f t="shared" si="20"/>
        <v>0</v>
      </c>
      <c r="AY22" s="93">
        <f t="shared" si="20"/>
        <v>0</v>
      </c>
      <c r="AZ22" s="93">
        <f t="shared" si="20"/>
        <v>0</v>
      </c>
      <c r="BA22" s="93">
        <f t="shared" si="20"/>
        <v>0</v>
      </c>
      <c r="BB22" s="93">
        <f t="shared" si="15"/>
        <v>0</v>
      </c>
      <c r="BC22" s="62">
        <f t="shared" ref="BC22:BK22" si="21">BC23+BC24+BC25+BC26</f>
        <v>0</v>
      </c>
      <c r="BD22" s="62">
        <f t="shared" si="21"/>
        <v>0</v>
      </c>
      <c r="BE22" s="62">
        <f>BE23+BE24+BE25+BE26</f>
        <v>0</v>
      </c>
      <c r="BF22" s="62">
        <f t="shared" si="21"/>
        <v>0</v>
      </c>
      <c r="BG22" s="62">
        <f t="shared" si="21"/>
        <v>0</v>
      </c>
      <c r="BH22" s="62">
        <f t="shared" si="21"/>
        <v>0</v>
      </c>
      <c r="BI22" s="62">
        <f t="shared" si="21"/>
        <v>0</v>
      </c>
      <c r="BJ22" s="62">
        <f t="shared" si="21"/>
        <v>0</v>
      </c>
      <c r="BK22" s="62">
        <f t="shared" si="21"/>
        <v>0</v>
      </c>
    </row>
    <row r="23" spans="1:63" ht="47.25" customHeight="1" x14ac:dyDescent="0.2">
      <c r="A23" s="65" t="s">
        <v>359</v>
      </c>
      <c r="B23" s="69">
        <v>2701</v>
      </c>
      <c r="C23" s="66" t="s">
        <v>10</v>
      </c>
      <c r="D23" s="67" t="s">
        <v>10</v>
      </c>
      <c r="E23" s="67" t="s">
        <v>10</v>
      </c>
      <c r="F23" s="66" t="s">
        <v>10</v>
      </c>
      <c r="G23" s="67" t="s">
        <v>10</v>
      </c>
      <c r="H23" s="67" t="s">
        <v>10</v>
      </c>
      <c r="I23" s="66" t="s">
        <v>10</v>
      </c>
      <c r="J23" s="67" t="s">
        <v>10</v>
      </c>
      <c r="K23" s="67" t="s">
        <v>10</v>
      </c>
      <c r="L23" s="64" t="s">
        <v>10</v>
      </c>
      <c r="M23" s="64" t="s">
        <v>10</v>
      </c>
      <c r="N23" s="93">
        <f t="shared" ref="N23:N29" si="22">SUM(Q23:W23)</f>
        <v>0</v>
      </c>
      <c r="O23" s="93"/>
      <c r="P23" s="93"/>
      <c r="Q23" s="93"/>
      <c r="R23" s="93"/>
      <c r="S23" s="93"/>
      <c r="T23" s="93"/>
      <c r="U23" s="93"/>
      <c r="V23" s="93"/>
      <c r="W23" s="93"/>
      <c r="X23" s="93">
        <f t="shared" ref="X23:X29" si="23">SUM(AA23:AG23)</f>
        <v>0</v>
      </c>
      <c r="Y23" s="93"/>
      <c r="Z23" s="93"/>
      <c r="AA23" s="93"/>
      <c r="AB23" s="93"/>
      <c r="AC23" s="93"/>
      <c r="AD23" s="93"/>
      <c r="AE23" s="93"/>
      <c r="AF23" s="93"/>
      <c r="AG23" s="93"/>
      <c r="AH23" s="93">
        <f t="shared" ref="AH23:AH29" si="24">SUM(AK23:AQ23)</f>
        <v>0</v>
      </c>
      <c r="AI23" s="93"/>
      <c r="AJ23" s="93"/>
      <c r="AK23" s="93"/>
      <c r="AL23" s="93"/>
      <c r="AM23" s="93"/>
      <c r="AN23" s="93"/>
      <c r="AO23" s="93"/>
      <c r="AP23" s="93"/>
      <c r="AQ23" s="93"/>
      <c r="AR23" s="93">
        <f t="shared" ref="AR23:AR29" si="25">SUM(AV23:BA23)</f>
        <v>0</v>
      </c>
      <c r="AS23" s="93"/>
      <c r="AT23" s="93"/>
      <c r="AU23" s="93"/>
      <c r="AV23" s="93"/>
      <c r="AW23" s="93"/>
      <c r="AX23" s="93"/>
      <c r="AY23" s="93"/>
      <c r="AZ23" s="93"/>
      <c r="BA23" s="93"/>
      <c r="BB23" s="93">
        <f t="shared" ref="BB23:BB29" si="26">SUM(BF23:BK23)</f>
        <v>0</v>
      </c>
      <c r="BC23" s="62"/>
      <c r="BD23" s="62"/>
      <c r="BE23" s="62"/>
      <c r="BF23" s="62"/>
      <c r="BG23" s="62"/>
      <c r="BH23" s="62"/>
      <c r="BI23" s="62"/>
      <c r="BJ23" s="62"/>
      <c r="BK23" s="62"/>
    </row>
    <row r="24" spans="1:63" ht="45" x14ac:dyDescent="0.2">
      <c r="A24" s="65" t="s">
        <v>360</v>
      </c>
      <c r="B24" s="69">
        <v>2800</v>
      </c>
      <c r="C24" s="66" t="s">
        <v>10</v>
      </c>
      <c r="D24" s="67" t="s">
        <v>10</v>
      </c>
      <c r="E24" s="67" t="s">
        <v>10</v>
      </c>
      <c r="F24" s="66" t="s">
        <v>10</v>
      </c>
      <c r="G24" s="67" t="s">
        <v>10</v>
      </c>
      <c r="H24" s="67" t="s">
        <v>10</v>
      </c>
      <c r="I24" s="66" t="s">
        <v>10</v>
      </c>
      <c r="J24" s="67" t="s">
        <v>10</v>
      </c>
      <c r="K24" s="67" t="s">
        <v>10</v>
      </c>
      <c r="L24" s="64" t="s">
        <v>10</v>
      </c>
      <c r="M24" s="64" t="s">
        <v>10</v>
      </c>
      <c r="N24" s="93">
        <f t="shared" si="22"/>
        <v>0</v>
      </c>
      <c r="O24" s="93"/>
      <c r="P24" s="93"/>
      <c r="Q24" s="93"/>
      <c r="R24" s="93"/>
      <c r="S24" s="93"/>
      <c r="T24" s="93"/>
      <c r="U24" s="93"/>
      <c r="V24" s="93"/>
      <c r="W24" s="93"/>
      <c r="X24" s="93">
        <f t="shared" si="23"/>
        <v>0</v>
      </c>
      <c r="Y24" s="93"/>
      <c r="Z24" s="93"/>
      <c r="AA24" s="93"/>
      <c r="AB24" s="93"/>
      <c r="AC24" s="93"/>
      <c r="AD24" s="93"/>
      <c r="AE24" s="93"/>
      <c r="AF24" s="93"/>
      <c r="AG24" s="93"/>
      <c r="AH24" s="93">
        <f t="shared" si="24"/>
        <v>0</v>
      </c>
      <c r="AI24" s="93"/>
      <c r="AJ24" s="93"/>
      <c r="AK24" s="93"/>
      <c r="AL24" s="93"/>
      <c r="AM24" s="93"/>
      <c r="AN24" s="93"/>
      <c r="AO24" s="93"/>
      <c r="AP24" s="93"/>
      <c r="AQ24" s="93"/>
      <c r="AR24" s="93">
        <f t="shared" si="25"/>
        <v>0</v>
      </c>
      <c r="AS24" s="93"/>
      <c r="AT24" s="93"/>
      <c r="AU24" s="93"/>
      <c r="AV24" s="93"/>
      <c r="AW24" s="93"/>
      <c r="AX24" s="93"/>
      <c r="AY24" s="93"/>
      <c r="AZ24" s="93"/>
      <c r="BA24" s="93"/>
      <c r="BB24" s="93">
        <f t="shared" si="26"/>
        <v>0</v>
      </c>
      <c r="BC24" s="62"/>
      <c r="BD24" s="62"/>
      <c r="BE24" s="62"/>
      <c r="BF24" s="62"/>
      <c r="BG24" s="62"/>
      <c r="BH24" s="62"/>
      <c r="BI24" s="62"/>
      <c r="BJ24" s="62"/>
      <c r="BK24" s="62"/>
    </row>
    <row r="25" spans="1:63" ht="67.5" x14ac:dyDescent="0.2">
      <c r="A25" s="65" t="s">
        <v>361</v>
      </c>
      <c r="B25" s="69">
        <v>2900</v>
      </c>
      <c r="C25" s="66" t="s">
        <v>10</v>
      </c>
      <c r="D25" s="67" t="s">
        <v>10</v>
      </c>
      <c r="E25" s="67" t="s">
        <v>10</v>
      </c>
      <c r="F25" s="66" t="s">
        <v>10</v>
      </c>
      <c r="G25" s="67" t="s">
        <v>10</v>
      </c>
      <c r="H25" s="67" t="s">
        <v>10</v>
      </c>
      <c r="I25" s="66" t="s">
        <v>10</v>
      </c>
      <c r="J25" s="67" t="s">
        <v>10</v>
      </c>
      <c r="K25" s="67" t="s">
        <v>10</v>
      </c>
      <c r="L25" s="64" t="s">
        <v>10</v>
      </c>
      <c r="M25" s="64" t="s">
        <v>10</v>
      </c>
      <c r="N25" s="93">
        <f t="shared" si="22"/>
        <v>0</v>
      </c>
      <c r="O25" s="93"/>
      <c r="P25" s="93"/>
      <c r="Q25" s="93"/>
      <c r="R25" s="93"/>
      <c r="S25" s="93"/>
      <c r="T25" s="93"/>
      <c r="U25" s="93"/>
      <c r="V25" s="93"/>
      <c r="W25" s="93"/>
      <c r="X25" s="93">
        <f t="shared" si="23"/>
        <v>0</v>
      </c>
      <c r="Y25" s="93"/>
      <c r="Z25" s="93"/>
      <c r="AA25" s="93"/>
      <c r="AB25" s="93"/>
      <c r="AC25" s="93"/>
      <c r="AD25" s="93"/>
      <c r="AE25" s="93"/>
      <c r="AF25" s="93"/>
      <c r="AG25" s="93"/>
      <c r="AH25" s="93">
        <f t="shared" si="24"/>
        <v>0</v>
      </c>
      <c r="AI25" s="93"/>
      <c r="AJ25" s="93"/>
      <c r="AK25" s="93"/>
      <c r="AL25" s="93"/>
      <c r="AM25" s="93"/>
      <c r="AN25" s="93"/>
      <c r="AO25" s="93"/>
      <c r="AP25" s="93"/>
      <c r="AQ25" s="93"/>
      <c r="AR25" s="93">
        <f t="shared" si="25"/>
        <v>0</v>
      </c>
      <c r="AS25" s="93"/>
      <c r="AT25" s="93"/>
      <c r="AU25" s="93"/>
      <c r="AV25" s="93"/>
      <c r="AW25" s="93"/>
      <c r="AX25" s="93"/>
      <c r="AY25" s="93"/>
      <c r="AZ25" s="93"/>
      <c r="BA25" s="93"/>
      <c r="BB25" s="93">
        <f t="shared" si="26"/>
        <v>0</v>
      </c>
      <c r="BC25" s="62"/>
      <c r="BD25" s="62"/>
      <c r="BE25" s="62"/>
      <c r="BF25" s="62"/>
      <c r="BG25" s="62"/>
      <c r="BH25" s="62"/>
      <c r="BI25" s="62"/>
      <c r="BJ25" s="62"/>
      <c r="BK25" s="62"/>
    </row>
    <row r="26" spans="1:63" ht="67.5" x14ac:dyDescent="0.2">
      <c r="A26" s="65" t="s">
        <v>363</v>
      </c>
      <c r="B26" s="69">
        <v>3000</v>
      </c>
      <c r="C26" s="66" t="s">
        <v>10</v>
      </c>
      <c r="D26" s="67" t="s">
        <v>10</v>
      </c>
      <c r="E26" s="67" t="s">
        <v>10</v>
      </c>
      <c r="F26" s="66" t="s">
        <v>10</v>
      </c>
      <c r="G26" s="67" t="s">
        <v>10</v>
      </c>
      <c r="H26" s="67" t="s">
        <v>10</v>
      </c>
      <c r="I26" s="66" t="s">
        <v>10</v>
      </c>
      <c r="J26" s="67" t="s">
        <v>10</v>
      </c>
      <c r="K26" s="67" t="s">
        <v>10</v>
      </c>
      <c r="L26" s="64" t="s">
        <v>10</v>
      </c>
      <c r="M26" s="64" t="s">
        <v>10</v>
      </c>
      <c r="N26" s="93">
        <f t="shared" si="22"/>
        <v>0</v>
      </c>
      <c r="O26" s="93"/>
      <c r="P26" s="93"/>
      <c r="Q26" s="93"/>
      <c r="R26" s="93"/>
      <c r="S26" s="93"/>
      <c r="T26" s="93"/>
      <c r="U26" s="93"/>
      <c r="V26" s="93"/>
      <c r="W26" s="93"/>
      <c r="X26" s="93">
        <f t="shared" si="23"/>
        <v>0</v>
      </c>
      <c r="Y26" s="93"/>
      <c r="Z26" s="93"/>
      <c r="AA26" s="93"/>
      <c r="AB26" s="93"/>
      <c r="AC26" s="93"/>
      <c r="AD26" s="93"/>
      <c r="AE26" s="93"/>
      <c r="AF26" s="93"/>
      <c r="AG26" s="93"/>
      <c r="AH26" s="93">
        <f t="shared" si="24"/>
        <v>0</v>
      </c>
      <c r="AI26" s="93"/>
      <c r="AJ26" s="93"/>
      <c r="AK26" s="93"/>
      <c r="AL26" s="93"/>
      <c r="AM26" s="93"/>
      <c r="AN26" s="93"/>
      <c r="AO26" s="93"/>
      <c r="AP26" s="93"/>
      <c r="AQ26" s="93"/>
      <c r="AR26" s="93">
        <f t="shared" si="25"/>
        <v>0</v>
      </c>
      <c r="AS26" s="93"/>
      <c r="AT26" s="93"/>
      <c r="AU26" s="93"/>
      <c r="AV26" s="93"/>
      <c r="AW26" s="93"/>
      <c r="AX26" s="93"/>
      <c r="AY26" s="93"/>
      <c r="AZ26" s="93"/>
      <c r="BA26" s="93"/>
      <c r="BB26" s="93">
        <f t="shared" si="26"/>
        <v>0</v>
      </c>
      <c r="BC26" s="62"/>
      <c r="BD26" s="62"/>
      <c r="BE26" s="62"/>
      <c r="BF26" s="62"/>
      <c r="BG26" s="62"/>
      <c r="BH26" s="62"/>
      <c r="BI26" s="62"/>
      <c r="BJ26" s="62"/>
      <c r="BK26" s="62"/>
    </row>
    <row r="27" spans="1:63" ht="94.5" x14ac:dyDescent="0.2">
      <c r="A27" s="60" t="s">
        <v>364</v>
      </c>
      <c r="B27" s="122">
        <v>3100</v>
      </c>
      <c r="C27" s="66" t="s">
        <v>10</v>
      </c>
      <c r="D27" s="67" t="s">
        <v>10</v>
      </c>
      <c r="E27" s="67" t="s">
        <v>10</v>
      </c>
      <c r="F27" s="66" t="s">
        <v>10</v>
      </c>
      <c r="G27" s="67" t="s">
        <v>10</v>
      </c>
      <c r="H27" s="67" t="s">
        <v>10</v>
      </c>
      <c r="I27" s="66" t="s">
        <v>10</v>
      </c>
      <c r="J27" s="67" t="s">
        <v>10</v>
      </c>
      <c r="K27" s="67" t="s">
        <v>10</v>
      </c>
      <c r="L27" s="64" t="s">
        <v>10</v>
      </c>
      <c r="M27" s="64" t="s">
        <v>10</v>
      </c>
      <c r="N27" s="93">
        <f t="shared" si="22"/>
        <v>327.9</v>
      </c>
      <c r="O27" s="93"/>
      <c r="P27" s="93"/>
      <c r="Q27" s="93">
        <f t="shared" ref="Q27:W27" si="27">Q28+Q29</f>
        <v>0</v>
      </c>
      <c r="R27" s="93">
        <f t="shared" si="27"/>
        <v>0</v>
      </c>
      <c r="S27" s="93">
        <f t="shared" si="27"/>
        <v>0</v>
      </c>
      <c r="T27" s="93">
        <f t="shared" si="27"/>
        <v>0</v>
      </c>
      <c r="U27" s="93">
        <f t="shared" si="27"/>
        <v>327.9</v>
      </c>
      <c r="V27" s="93">
        <f t="shared" si="27"/>
        <v>0</v>
      </c>
      <c r="W27" s="93">
        <f t="shared" si="27"/>
        <v>0</v>
      </c>
      <c r="X27" s="93">
        <f t="shared" si="23"/>
        <v>327.9</v>
      </c>
      <c r="Y27" s="93"/>
      <c r="Z27" s="93"/>
      <c r="AA27" s="93">
        <f t="shared" ref="AA27:AG27" si="28">AA28+AA29</f>
        <v>0</v>
      </c>
      <c r="AB27" s="93">
        <f t="shared" si="28"/>
        <v>0</v>
      </c>
      <c r="AC27" s="93">
        <f t="shared" si="28"/>
        <v>0</v>
      </c>
      <c r="AD27" s="93">
        <f t="shared" si="28"/>
        <v>0</v>
      </c>
      <c r="AE27" s="93">
        <f t="shared" si="28"/>
        <v>327.9</v>
      </c>
      <c r="AF27" s="93">
        <f t="shared" si="28"/>
        <v>0</v>
      </c>
      <c r="AG27" s="93">
        <f t="shared" si="28"/>
        <v>0</v>
      </c>
      <c r="AH27" s="93">
        <f t="shared" si="24"/>
        <v>379.6</v>
      </c>
      <c r="AI27" s="93"/>
      <c r="AJ27" s="93"/>
      <c r="AK27" s="93">
        <f t="shared" ref="AK27:AQ27" si="29">AK28+AK29</f>
        <v>0</v>
      </c>
      <c r="AL27" s="93">
        <f>AL28+AL29</f>
        <v>0</v>
      </c>
      <c r="AM27" s="93">
        <f t="shared" si="29"/>
        <v>0</v>
      </c>
      <c r="AN27" s="93">
        <f t="shared" si="29"/>
        <v>0</v>
      </c>
      <c r="AO27" s="93">
        <f t="shared" si="29"/>
        <v>379.6</v>
      </c>
      <c r="AP27" s="93">
        <f t="shared" si="29"/>
        <v>0</v>
      </c>
      <c r="AQ27" s="93">
        <f t="shared" si="29"/>
        <v>0</v>
      </c>
      <c r="AR27" s="93">
        <f t="shared" si="25"/>
        <v>348.9</v>
      </c>
      <c r="AS27" s="93"/>
      <c r="AT27" s="93"/>
      <c r="AU27" s="93">
        <f>AU28+AU29</f>
        <v>0</v>
      </c>
      <c r="AV27" s="93">
        <f t="shared" ref="AV27:BA27" si="30">AV28+AV29</f>
        <v>0</v>
      </c>
      <c r="AW27" s="93">
        <f t="shared" si="30"/>
        <v>0</v>
      </c>
      <c r="AX27" s="93">
        <f t="shared" si="30"/>
        <v>0</v>
      </c>
      <c r="AY27" s="93">
        <f t="shared" si="30"/>
        <v>348.9</v>
      </c>
      <c r="AZ27" s="93">
        <f t="shared" si="30"/>
        <v>0</v>
      </c>
      <c r="BA27" s="93">
        <f t="shared" si="30"/>
        <v>0</v>
      </c>
      <c r="BB27" s="93">
        <f t="shared" si="26"/>
        <v>348.9</v>
      </c>
      <c r="BC27" s="62">
        <f t="shared" ref="BC27:BK27" si="31">BC28+BC29</f>
        <v>0</v>
      </c>
      <c r="BD27" s="62">
        <f t="shared" si="31"/>
        <v>0</v>
      </c>
      <c r="BE27" s="62">
        <f>BE28+BE29</f>
        <v>0</v>
      </c>
      <c r="BF27" s="62">
        <f t="shared" si="31"/>
        <v>0</v>
      </c>
      <c r="BG27" s="62">
        <f t="shared" si="31"/>
        <v>0</v>
      </c>
      <c r="BH27" s="62">
        <f t="shared" si="31"/>
        <v>0</v>
      </c>
      <c r="BI27" s="62">
        <f>BI28+BI29</f>
        <v>348.9</v>
      </c>
      <c r="BJ27" s="62">
        <f t="shared" si="31"/>
        <v>0</v>
      </c>
      <c r="BK27" s="62">
        <f t="shared" si="31"/>
        <v>0</v>
      </c>
    </row>
    <row r="28" spans="1:63" ht="22.5" x14ac:dyDescent="0.2">
      <c r="A28" s="65" t="s">
        <v>365</v>
      </c>
      <c r="B28" s="69">
        <v>3101</v>
      </c>
      <c r="C28" s="66" t="s">
        <v>10</v>
      </c>
      <c r="D28" s="67" t="s">
        <v>10</v>
      </c>
      <c r="E28" s="67" t="s">
        <v>10</v>
      </c>
      <c r="F28" s="66" t="s">
        <v>10</v>
      </c>
      <c r="G28" s="67" t="s">
        <v>10</v>
      </c>
      <c r="H28" s="67" t="s">
        <v>10</v>
      </c>
      <c r="I28" s="66" t="s">
        <v>10</v>
      </c>
      <c r="J28" s="67" t="s">
        <v>10</v>
      </c>
      <c r="K28" s="67" t="s">
        <v>10</v>
      </c>
      <c r="L28" s="64" t="s">
        <v>10</v>
      </c>
      <c r="M28" s="64" t="s">
        <v>10</v>
      </c>
      <c r="N28" s="93">
        <f t="shared" si="22"/>
        <v>0</v>
      </c>
      <c r="O28" s="93"/>
      <c r="P28" s="93"/>
      <c r="Q28" s="93"/>
      <c r="R28" s="93"/>
      <c r="S28" s="93"/>
      <c r="T28" s="93"/>
      <c r="U28" s="93"/>
      <c r="V28" s="93"/>
      <c r="W28" s="93"/>
      <c r="X28" s="93">
        <f t="shared" si="23"/>
        <v>0</v>
      </c>
      <c r="Y28" s="93"/>
      <c r="Z28" s="93"/>
      <c r="AA28" s="93"/>
      <c r="AB28" s="93"/>
      <c r="AC28" s="93"/>
      <c r="AD28" s="93"/>
      <c r="AE28" s="93"/>
      <c r="AF28" s="93"/>
      <c r="AG28" s="93"/>
      <c r="AH28" s="93">
        <f t="shared" si="24"/>
        <v>0</v>
      </c>
      <c r="AI28" s="93"/>
      <c r="AJ28" s="93"/>
      <c r="AK28" s="93"/>
      <c r="AL28" s="93"/>
      <c r="AM28" s="93"/>
      <c r="AN28" s="93"/>
      <c r="AO28" s="93"/>
      <c r="AP28" s="93"/>
      <c r="AQ28" s="93"/>
      <c r="AR28" s="93">
        <f t="shared" si="25"/>
        <v>0</v>
      </c>
      <c r="AS28" s="93"/>
      <c r="AT28" s="93"/>
      <c r="AU28" s="93"/>
      <c r="AV28" s="93"/>
      <c r="AW28" s="93"/>
      <c r="AX28" s="93"/>
      <c r="AY28" s="93"/>
      <c r="AZ28" s="93"/>
      <c r="BA28" s="93"/>
      <c r="BB28" s="93">
        <f t="shared" si="26"/>
        <v>0</v>
      </c>
      <c r="BC28" s="62"/>
      <c r="BD28" s="62"/>
      <c r="BE28" s="62"/>
      <c r="BF28" s="62"/>
      <c r="BG28" s="62"/>
      <c r="BH28" s="62"/>
      <c r="BI28" s="62"/>
      <c r="BJ28" s="62"/>
      <c r="BK28" s="62"/>
    </row>
    <row r="29" spans="1:63" ht="36" customHeight="1" x14ac:dyDescent="0.2">
      <c r="A29" s="65" t="s">
        <v>370</v>
      </c>
      <c r="B29" s="69">
        <v>3200</v>
      </c>
      <c r="C29" s="66"/>
      <c r="D29" s="66"/>
      <c r="E29" s="66"/>
      <c r="F29" s="66"/>
      <c r="G29" s="67"/>
      <c r="H29" s="71"/>
      <c r="I29" s="72"/>
      <c r="J29" s="72"/>
      <c r="K29" s="73"/>
      <c r="L29" s="64"/>
      <c r="M29" s="64"/>
      <c r="N29" s="93">
        <f t="shared" si="22"/>
        <v>327.9</v>
      </c>
      <c r="O29" s="93">
        <f t="shared" ref="O29:W29" si="32">O30+O31</f>
        <v>0</v>
      </c>
      <c r="P29" s="93">
        <f t="shared" si="32"/>
        <v>0</v>
      </c>
      <c r="Q29" s="93">
        <f t="shared" si="32"/>
        <v>0</v>
      </c>
      <c r="R29" s="93">
        <f t="shared" si="32"/>
        <v>0</v>
      </c>
      <c r="S29" s="93">
        <f t="shared" si="32"/>
        <v>0</v>
      </c>
      <c r="T29" s="93">
        <f t="shared" si="32"/>
        <v>0</v>
      </c>
      <c r="U29" s="93">
        <f t="shared" si="32"/>
        <v>327.9</v>
      </c>
      <c r="V29" s="93">
        <f t="shared" si="32"/>
        <v>0</v>
      </c>
      <c r="W29" s="93">
        <f t="shared" si="32"/>
        <v>0</v>
      </c>
      <c r="X29" s="93">
        <f t="shared" si="23"/>
        <v>327.9</v>
      </c>
      <c r="Y29" s="93">
        <f t="shared" ref="Y29:AG29" si="33">Y30+Y31</f>
        <v>0</v>
      </c>
      <c r="Z29" s="93">
        <f t="shared" si="33"/>
        <v>0</v>
      </c>
      <c r="AA29" s="93">
        <f t="shared" si="33"/>
        <v>0</v>
      </c>
      <c r="AB29" s="93">
        <f t="shared" si="33"/>
        <v>0</v>
      </c>
      <c r="AC29" s="93">
        <f t="shared" si="33"/>
        <v>0</v>
      </c>
      <c r="AD29" s="93">
        <f t="shared" si="33"/>
        <v>0</v>
      </c>
      <c r="AE29" s="93">
        <f t="shared" si="33"/>
        <v>327.9</v>
      </c>
      <c r="AF29" s="93">
        <f t="shared" si="33"/>
        <v>0</v>
      </c>
      <c r="AG29" s="93">
        <f t="shared" si="33"/>
        <v>0</v>
      </c>
      <c r="AH29" s="93">
        <f t="shared" si="24"/>
        <v>379.6</v>
      </c>
      <c r="AI29" s="93">
        <f>AI30+AI31</f>
        <v>0</v>
      </c>
      <c r="AJ29" s="93">
        <f t="shared" ref="AJ29:AQ29" si="34">AJ30+AJ31</f>
        <v>0</v>
      </c>
      <c r="AK29" s="93">
        <f t="shared" si="34"/>
        <v>0</v>
      </c>
      <c r="AL29" s="93">
        <f>AL30+AL31</f>
        <v>0</v>
      </c>
      <c r="AM29" s="93">
        <f t="shared" si="34"/>
        <v>0</v>
      </c>
      <c r="AN29" s="93">
        <f t="shared" si="34"/>
        <v>0</v>
      </c>
      <c r="AO29" s="93">
        <f t="shared" si="34"/>
        <v>379.6</v>
      </c>
      <c r="AP29" s="93">
        <f t="shared" si="34"/>
        <v>0</v>
      </c>
      <c r="AQ29" s="93">
        <f t="shared" si="34"/>
        <v>0</v>
      </c>
      <c r="AR29" s="93">
        <f t="shared" si="25"/>
        <v>348.9</v>
      </c>
      <c r="AS29" s="93">
        <f>AS30+AS31</f>
        <v>0</v>
      </c>
      <c r="AT29" s="93">
        <f t="shared" ref="AT29:BA29" si="35">AT30+AT31</f>
        <v>0</v>
      </c>
      <c r="AU29" s="93">
        <f>AU30+AU31</f>
        <v>0</v>
      </c>
      <c r="AV29" s="93">
        <f t="shared" si="35"/>
        <v>0</v>
      </c>
      <c r="AW29" s="93">
        <f t="shared" si="35"/>
        <v>0</v>
      </c>
      <c r="AX29" s="93">
        <f t="shared" si="35"/>
        <v>0</v>
      </c>
      <c r="AY29" s="93">
        <f t="shared" si="35"/>
        <v>348.9</v>
      </c>
      <c r="AZ29" s="93">
        <f t="shared" si="35"/>
        <v>0</v>
      </c>
      <c r="BA29" s="93">
        <f t="shared" si="35"/>
        <v>0</v>
      </c>
      <c r="BB29" s="93">
        <f t="shared" si="26"/>
        <v>348.9</v>
      </c>
      <c r="BC29" s="62">
        <f t="shared" ref="BC29:BK29" si="36">BC31</f>
        <v>0</v>
      </c>
      <c r="BD29" s="62">
        <f t="shared" si="36"/>
        <v>0</v>
      </c>
      <c r="BE29" s="62">
        <f>BE31</f>
        <v>0</v>
      </c>
      <c r="BF29" s="62">
        <f t="shared" si="36"/>
        <v>0</v>
      </c>
      <c r="BG29" s="62">
        <f t="shared" si="36"/>
        <v>0</v>
      </c>
      <c r="BH29" s="62">
        <f t="shared" si="36"/>
        <v>0</v>
      </c>
      <c r="BI29" s="62">
        <f>BI31+BI30</f>
        <v>348.9</v>
      </c>
      <c r="BJ29" s="62">
        <f t="shared" si="36"/>
        <v>0</v>
      </c>
      <c r="BK29" s="62">
        <f t="shared" si="36"/>
        <v>0</v>
      </c>
    </row>
    <row r="30" spans="1:63" s="147" customFormat="1" ht="236.25" x14ac:dyDescent="0.2">
      <c r="A30" s="86" t="s">
        <v>423</v>
      </c>
      <c r="B30" s="74">
        <v>3236</v>
      </c>
      <c r="C30" s="89"/>
      <c r="D30" s="89"/>
      <c r="E30" s="89"/>
      <c r="F30" s="89"/>
      <c r="G30" s="90"/>
      <c r="H30" s="97"/>
      <c r="I30" s="98"/>
      <c r="J30" s="98"/>
      <c r="K30" s="99"/>
      <c r="L30" s="91"/>
      <c r="M30" s="91"/>
      <c r="N30" s="84">
        <f t="shared" ref="N30:N37" si="37">SUM(Q30:W30)</f>
        <v>327.9</v>
      </c>
      <c r="O30" s="93"/>
      <c r="P30" s="93"/>
      <c r="Q30" s="93"/>
      <c r="R30" s="93"/>
      <c r="S30" s="93"/>
      <c r="T30" s="93"/>
      <c r="U30" s="93">
        <v>327.9</v>
      </c>
      <c r="V30" s="93"/>
      <c r="W30" s="93"/>
      <c r="X30" s="84">
        <f t="shared" ref="X30:X37" si="38">SUM(AA30:AG30)</f>
        <v>327.9</v>
      </c>
      <c r="Y30" s="93"/>
      <c r="Z30" s="93"/>
      <c r="AA30" s="93"/>
      <c r="AB30" s="93"/>
      <c r="AC30" s="93"/>
      <c r="AD30" s="93"/>
      <c r="AE30" s="93">
        <v>327.9</v>
      </c>
      <c r="AF30" s="93"/>
      <c r="AG30" s="93"/>
      <c r="AH30" s="84">
        <f t="shared" ref="AH30:AH37" si="39">SUM(AK30:AQ30)</f>
        <v>379.6</v>
      </c>
      <c r="AI30" s="93"/>
      <c r="AJ30" s="93"/>
      <c r="AK30" s="93"/>
      <c r="AL30" s="93"/>
      <c r="AM30" s="93"/>
      <c r="AN30" s="93"/>
      <c r="AO30" s="93">
        <v>379.6</v>
      </c>
      <c r="AP30" s="93"/>
      <c r="AQ30" s="93"/>
      <c r="AR30" s="84">
        <f t="shared" ref="AR30:AR37" si="40">SUM(AV30:BA30)</f>
        <v>348.9</v>
      </c>
      <c r="AS30" s="93"/>
      <c r="AT30" s="93"/>
      <c r="AU30" s="93"/>
      <c r="AV30" s="93"/>
      <c r="AW30" s="93"/>
      <c r="AX30" s="93"/>
      <c r="AY30" s="93">
        <v>348.9</v>
      </c>
      <c r="AZ30" s="93"/>
      <c r="BA30" s="93"/>
      <c r="BB30" s="84">
        <f t="shared" ref="BB30:BB37" si="41">SUM(BF30:BK30)</f>
        <v>348.9</v>
      </c>
      <c r="BC30" s="93"/>
      <c r="BD30" s="93"/>
      <c r="BE30" s="93"/>
      <c r="BF30" s="93"/>
      <c r="BG30" s="93"/>
      <c r="BH30" s="93"/>
      <c r="BI30" s="93">
        <v>348.9</v>
      </c>
      <c r="BJ30" s="93"/>
      <c r="BK30" s="93"/>
    </row>
    <row r="31" spans="1:63" ht="216" x14ac:dyDescent="0.2">
      <c r="A31" s="86" t="s">
        <v>430</v>
      </c>
      <c r="B31" s="74">
        <v>3296</v>
      </c>
      <c r="C31" s="21" t="s">
        <v>122</v>
      </c>
      <c r="D31" s="21" t="s">
        <v>116</v>
      </c>
      <c r="E31" s="21" t="s">
        <v>115</v>
      </c>
      <c r="F31" s="47" t="s">
        <v>123</v>
      </c>
      <c r="G31" s="47" t="s">
        <v>124</v>
      </c>
      <c r="H31" s="47" t="s">
        <v>125</v>
      </c>
      <c r="I31" s="22" t="s">
        <v>214</v>
      </c>
      <c r="J31" s="22" t="s">
        <v>63</v>
      </c>
      <c r="K31" s="37" t="s">
        <v>213</v>
      </c>
      <c r="L31" s="7" t="s">
        <v>50</v>
      </c>
      <c r="M31" s="7" t="s">
        <v>22</v>
      </c>
      <c r="N31" s="84">
        <f t="shared" si="37"/>
        <v>0</v>
      </c>
      <c r="O31" s="84"/>
      <c r="P31" s="84"/>
      <c r="Q31" s="84"/>
      <c r="R31" s="84"/>
      <c r="S31" s="84"/>
      <c r="T31" s="84"/>
      <c r="U31" s="84"/>
      <c r="V31" s="84"/>
      <c r="W31" s="84">
        <v>0</v>
      </c>
      <c r="X31" s="84">
        <f t="shared" si="38"/>
        <v>0</v>
      </c>
      <c r="Y31" s="84"/>
      <c r="Z31" s="84"/>
      <c r="AA31" s="84"/>
      <c r="AB31" s="84"/>
      <c r="AC31" s="84"/>
      <c r="AD31" s="84"/>
      <c r="AE31" s="84"/>
      <c r="AF31" s="84"/>
      <c r="AG31" s="84">
        <v>0</v>
      </c>
      <c r="AH31" s="84">
        <f t="shared" si="39"/>
        <v>0</v>
      </c>
      <c r="AI31" s="84"/>
      <c r="AJ31" s="84"/>
      <c r="AK31" s="84"/>
      <c r="AL31" s="84"/>
      <c r="AM31" s="84"/>
      <c r="AN31" s="84"/>
      <c r="AO31" s="84"/>
      <c r="AP31" s="84"/>
      <c r="AQ31" s="84">
        <v>0</v>
      </c>
      <c r="AR31" s="84">
        <f t="shared" si="40"/>
        <v>0</v>
      </c>
      <c r="AS31" s="84"/>
      <c r="AT31" s="84"/>
      <c r="AU31" s="84"/>
      <c r="AV31" s="84"/>
      <c r="AW31" s="84"/>
      <c r="AX31" s="84"/>
      <c r="AY31" s="84"/>
      <c r="AZ31" s="84"/>
      <c r="BA31" s="84">
        <v>0</v>
      </c>
      <c r="BB31" s="84">
        <f t="shared" si="41"/>
        <v>0</v>
      </c>
      <c r="BC31" s="10"/>
      <c r="BD31" s="10"/>
      <c r="BE31" s="10"/>
      <c r="BF31" s="10"/>
      <c r="BG31" s="10"/>
      <c r="BH31" s="10"/>
      <c r="BI31" s="10"/>
      <c r="BJ31" s="10"/>
      <c r="BK31" s="10">
        <v>0</v>
      </c>
    </row>
    <row r="32" spans="1:63" ht="45" x14ac:dyDescent="0.2">
      <c r="A32" s="65" t="s">
        <v>431</v>
      </c>
      <c r="B32" s="69">
        <v>3300</v>
      </c>
      <c r="C32" s="66" t="s">
        <v>10</v>
      </c>
      <c r="D32" s="67" t="s">
        <v>10</v>
      </c>
      <c r="E32" s="67" t="s">
        <v>10</v>
      </c>
      <c r="F32" s="66" t="s">
        <v>10</v>
      </c>
      <c r="G32" s="67" t="s">
        <v>10</v>
      </c>
      <c r="H32" s="67" t="s">
        <v>10</v>
      </c>
      <c r="I32" s="66" t="s">
        <v>10</v>
      </c>
      <c r="J32" s="67" t="s">
        <v>10</v>
      </c>
      <c r="K32" s="67" t="s">
        <v>10</v>
      </c>
      <c r="L32" s="64" t="s">
        <v>10</v>
      </c>
      <c r="M32" s="64" t="s">
        <v>10</v>
      </c>
      <c r="N32" s="93">
        <f t="shared" si="37"/>
        <v>0</v>
      </c>
      <c r="O32" s="93"/>
      <c r="P32" s="93"/>
      <c r="Q32" s="93"/>
      <c r="R32" s="93"/>
      <c r="S32" s="93"/>
      <c r="T32" s="93"/>
      <c r="U32" s="93"/>
      <c r="V32" s="93"/>
      <c r="W32" s="93"/>
      <c r="X32" s="93">
        <f t="shared" si="38"/>
        <v>0</v>
      </c>
      <c r="Y32" s="93"/>
      <c r="Z32" s="93"/>
      <c r="AA32" s="93"/>
      <c r="AB32" s="93"/>
      <c r="AC32" s="93"/>
      <c r="AD32" s="93"/>
      <c r="AE32" s="93"/>
      <c r="AF32" s="93"/>
      <c r="AG32" s="93"/>
      <c r="AH32" s="93">
        <f t="shared" si="39"/>
        <v>0</v>
      </c>
      <c r="AI32" s="93"/>
      <c r="AJ32" s="93"/>
      <c r="AK32" s="93"/>
      <c r="AL32" s="93"/>
      <c r="AM32" s="93"/>
      <c r="AN32" s="93"/>
      <c r="AO32" s="93"/>
      <c r="AP32" s="93"/>
      <c r="AQ32" s="93"/>
      <c r="AR32" s="93">
        <f t="shared" si="40"/>
        <v>0</v>
      </c>
      <c r="AS32" s="93"/>
      <c r="AT32" s="93"/>
      <c r="AU32" s="93"/>
      <c r="AV32" s="93"/>
      <c r="AW32" s="93"/>
      <c r="AX32" s="93"/>
      <c r="AY32" s="93"/>
      <c r="AZ32" s="93"/>
      <c r="BA32" s="93"/>
      <c r="BB32" s="93">
        <f t="shared" si="41"/>
        <v>0</v>
      </c>
      <c r="BC32" s="62"/>
      <c r="BD32" s="62"/>
      <c r="BE32" s="62"/>
      <c r="BF32" s="62"/>
      <c r="BG32" s="62"/>
      <c r="BH32" s="62"/>
      <c r="BI32" s="62"/>
      <c r="BJ32" s="62"/>
      <c r="BK32" s="62"/>
    </row>
    <row r="33" spans="1:63" ht="51.75" customHeight="1" x14ac:dyDescent="0.2">
      <c r="A33" s="60" t="s">
        <v>432</v>
      </c>
      <c r="B33" s="69">
        <v>3400</v>
      </c>
      <c r="C33" s="66" t="s">
        <v>10</v>
      </c>
      <c r="D33" s="67" t="s">
        <v>10</v>
      </c>
      <c r="E33" s="67" t="s">
        <v>10</v>
      </c>
      <c r="F33" s="66" t="s">
        <v>10</v>
      </c>
      <c r="G33" s="67" t="s">
        <v>10</v>
      </c>
      <c r="H33" s="67" t="s">
        <v>10</v>
      </c>
      <c r="I33" s="66" t="s">
        <v>10</v>
      </c>
      <c r="J33" s="67" t="s">
        <v>10</v>
      </c>
      <c r="K33" s="67" t="s">
        <v>10</v>
      </c>
      <c r="L33" s="64" t="s">
        <v>10</v>
      </c>
      <c r="M33" s="64" t="s">
        <v>10</v>
      </c>
      <c r="N33" s="93">
        <f t="shared" si="37"/>
        <v>0</v>
      </c>
      <c r="O33" s="93"/>
      <c r="P33" s="93"/>
      <c r="Q33" s="93"/>
      <c r="R33" s="93"/>
      <c r="S33" s="93"/>
      <c r="T33" s="93"/>
      <c r="U33" s="93"/>
      <c r="V33" s="93"/>
      <c r="W33" s="93"/>
      <c r="X33" s="93">
        <f t="shared" si="38"/>
        <v>0</v>
      </c>
      <c r="Y33" s="93"/>
      <c r="Z33" s="93"/>
      <c r="AA33" s="93"/>
      <c r="AB33" s="93"/>
      <c r="AC33" s="93"/>
      <c r="AD33" s="93"/>
      <c r="AE33" s="93"/>
      <c r="AF33" s="93"/>
      <c r="AG33" s="93"/>
      <c r="AH33" s="93">
        <f t="shared" si="39"/>
        <v>0</v>
      </c>
      <c r="AI33" s="93"/>
      <c r="AJ33" s="93"/>
      <c r="AK33" s="93"/>
      <c r="AL33" s="93"/>
      <c r="AM33" s="93"/>
      <c r="AN33" s="93"/>
      <c r="AO33" s="93"/>
      <c r="AP33" s="93"/>
      <c r="AQ33" s="93"/>
      <c r="AR33" s="93">
        <f t="shared" si="40"/>
        <v>0</v>
      </c>
      <c r="AS33" s="93"/>
      <c r="AT33" s="93"/>
      <c r="AU33" s="93"/>
      <c r="AV33" s="93"/>
      <c r="AW33" s="93"/>
      <c r="AX33" s="93"/>
      <c r="AY33" s="93"/>
      <c r="AZ33" s="93"/>
      <c r="BA33" s="93"/>
      <c r="BB33" s="93">
        <f t="shared" si="41"/>
        <v>0</v>
      </c>
      <c r="BC33" s="62"/>
      <c r="BD33" s="62"/>
      <c r="BE33" s="62"/>
      <c r="BF33" s="62"/>
      <c r="BG33" s="62"/>
      <c r="BH33" s="62"/>
      <c r="BI33" s="62"/>
      <c r="BJ33" s="62"/>
      <c r="BK33" s="62"/>
    </row>
    <row r="34" spans="1:63" ht="63" x14ac:dyDescent="0.2">
      <c r="A34" s="60" t="s">
        <v>435</v>
      </c>
      <c r="B34" s="122">
        <v>3500</v>
      </c>
      <c r="C34" s="66" t="s">
        <v>10</v>
      </c>
      <c r="D34" s="67" t="s">
        <v>10</v>
      </c>
      <c r="E34" s="67" t="s">
        <v>10</v>
      </c>
      <c r="F34" s="66" t="s">
        <v>10</v>
      </c>
      <c r="G34" s="67" t="s">
        <v>10</v>
      </c>
      <c r="H34" s="67" t="s">
        <v>10</v>
      </c>
      <c r="I34" s="66" t="s">
        <v>10</v>
      </c>
      <c r="J34" s="67" t="s">
        <v>10</v>
      </c>
      <c r="K34" s="67" t="s">
        <v>10</v>
      </c>
      <c r="L34" s="64" t="s">
        <v>10</v>
      </c>
      <c r="M34" s="64" t="s">
        <v>10</v>
      </c>
      <c r="N34" s="93">
        <f t="shared" si="37"/>
        <v>0</v>
      </c>
      <c r="O34" s="93"/>
      <c r="P34" s="93"/>
      <c r="Q34" s="93">
        <f t="shared" ref="Q34:W34" si="42">Q35+Q36</f>
        <v>0</v>
      </c>
      <c r="R34" s="93">
        <f t="shared" si="42"/>
        <v>0</v>
      </c>
      <c r="S34" s="93">
        <f t="shared" si="42"/>
        <v>0</v>
      </c>
      <c r="T34" s="93">
        <f t="shared" si="42"/>
        <v>0</v>
      </c>
      <c r="U34" s="93">
        <f t="shared" si="42"/>
        <v>0</v>
      </c>
      <c r="V34" s="93">
        <f t="shared" si="42"/>
        <v>0</v>
      </c>
      <c r="W34" s="93">
        <f t="shared" si="42"/>
        <v>0</v>
      </c>
      <c r="X34" s="93">
        <f t="shared" si="38"/>
        <v>0</v>
      </c>
      <c r="Y34" s="93"/>
      <c r="Z34" s="93"/>
      <c r="AA34" s="93">
        <f t="shared" ref="AA34:AG34" si="43">AA35+AA36</f>
        <v>0</v>
      </c>
      <c r="AB34" s="93">
        <f t="shared" si="43"/>
        <v>0</v>
      </c>
      <c r="AC34" s="93">
        <f t="shared" si="43"/>
        <v>0</v>
      </c>
      <c r="AD34" s="93">
        <f t="shared" si="43"/>
        <v>0</v>
      </c>
      <c r="AE34" s="93">
        <f t="shared" si="43"/>
        <v>0</v>
      </c>
      <c r="AF34" s="93">
        <f t="shared" si="43"/>
        <v>0</v>
      </c>
      <c r="AG34" s="93">
        <f t="shared" si="43"/>
        <v>0</v>
      </c>
      <c r="AH34" s="93">
        <f t="shared" si="39"/>
        <v>0</v>
      </c>
      <c r="AI34" s="93"/>
      <c r="AJ34" s="93"/>
      <c r="AK34" s="93">
        <f t="shared" ref="AK34:AQ34" si="44">AK35+AK36</f>
        <v>0</v>
      </c>
      <c r="AL34" s="93">
        <f>AL35+AL36</f>
        <v>0</v>
      </c>
      <c r="AM34" s="93">
        <f t="shared" si="44"/>
        <v>0</v>
      </c>
      <c r="AN34" s="93">
        <f t="shared" si="44"/>
        <v>0</v>
      </c>
      <c r="AO34" s="93">
        <f t="shared" si="44"/>
        <v>0</v>
      </c>
      <c r="AP34" s="93">
        <f t="shared" si="44"/>
        <v>0</v>
      </c>
      <c r="AQ34" s="93">
        <f t="shared" si="44"/>
        <v>0</v>
      </c>
      <c r="AR34" s="93">
        <f t="shared" si="40"/>
        <v>0</v>
      </c>
      <c r="AS34" s="93"/>
      <c r="AT34" s="93"/>
      <c r="AU34" s="93">
        <f>AU35+AU36</f>
        <v>0</v>
      </c>
      <c r="AV34" s="93">
        <f t="shared" ref="AV34:BA34" si="45">AV35+AV36</f>
        <v>0</v>
      </c>
      <c r="AW34" s="93">
        <f t="shared" si="45"/>
        <v>0</v>
      </c>
      <c r="AX34" s="93">
        <f t="shared" si="45"/>
        <v>0</v>
      </c>
      <c r="AY34" s="93">
        <f t="shared" si="45"/>
        <v>0</v>
      </c>
      <c r="AZ34" s="93">
        <f t="shared" si="45"/>
        <v>0</v>
      </c>
      <c r="BA34" s="93">
        <f t="shared" si="45"/>
        <v>0</v>
      </c>
      <c r="BB34" s="93">
        <f t="shared" si="41"/>
        <v>0</v>
      </c>
      <c r="BC34" s="62">
        <f t="shared" ref="BC34:BK34" si="46">BC35+BC36</f>
        <v>0</v>
      </c>
      <c r="BD34" s="62">
        <f t="shared" si="46"/>
        <v>0</v>
      </c>
      <c r="BE34" s="62">
        <f>BE35+BE36</f>
        <v>0</v>
      </c>
      <c r="BF34" s="62">
        <f t="shared" si="46"/>
        <v>0</v>
      </c>
      <c r="BG34" s="62">
        <f t="shared" si="46"/>
        <v>0</v>
      </c>
      <c r="BH34" s="62">
        <f t="shared" si="46"/>
        <v>0</v>
      </c>
      <c r="BI34" s="62">
        <f t="shared" si="46"/>
        <v>0</v>
      </c>
      <c r="BJ34" s="62">
        <f t="shared" si="46"/>
        <v>0</v>
      </c>
      <c r="BK34" s="62">
        <f t="shared" si="46"/>
        <v>0</v>
      </c>
    </row>
    <row r="35" spans="1:63" ht="51.75" customHeight="1" x14ac:dyDescent="0.2">
      <c r="A35" s="63" t="s">
        <v>436</v>
      </c>
      <c r="B35" s="69">
        <v>3501</v>
      </c>
      <c r="C35" s="66" t="s">
        <v>10</v>
      </c>
      <c r="D35" s="67" t="s">
        <v>10</v>
      </c>
      <c r="E35" s="67" t="s">
        <v>10</v>
      </c>
      <c r="F35" s="66" t="s">
        <v>10</v>
      </c>
      <c r="G35" s="67" t="s">
        <v>10</v>
      </c>
      <c r="H35" s="67" t="s">
        <v>10</v>
      </c>
      <c r="I35" s="66" t="s">
        <v>10</v>
      </c>
      <c r="J35" s="67" t="s">
        <v>10</v>
      </c>
      <c r="K35" s="67" t="s">
        <v>10</v>
      </c>
      <c r="L35" s="64" t="s">
        <v>10</v>
      </c>
      <c r="M35" s="64" t="s">
        <v>10</v>
      </c>
      <c r="N35" s="93">
        <f t="shared" si="37"/>
        <v>0</v>
      </c>
      <c r="O35" s="93"/>
      <c r="P35" s="93"/>
      <c r="Q35" s="84"/>
      <c r="R35" s="84"/>
      <c r="S35" s="84"/>
      <c r="T35" s="84"/>
      <c r="U35" s="84"/>
      <c r="V35" s="84"/>
      <c r="W35" s="84"/>
      <c r="X35" s="93">
        <f t="shared" si="38"/>
        <v>0</v>
      </c>
      <c r="Y35" s="93"/>
      <c r="Z35" s="93"/>
      <c r="AA35" s="84"/>
      <c r="AB35" s="84"/>
      <c r="AC35" s="84"/>
      <c r="AD35" s="84"/>
      <c r="AE35" s="84"/>
      <c r="AF35" s="84"/>
      <c r="AG35" s="84"/>
      <c r="AH35" s="93">
        <f t="shared" si="39"/>
        <v>0</v>
      </c>
      <c r="AI35" s="93"/>
      <c r="AJ35" s="93"/>
      <c r="AK35" s="84"/>
      <c r="AL35" s="84"/>
      <c r="AM35" s="84"/>
      <c r="AN35" s="84"/>
      <c r="AO35" s="84"/>
      <c r="AP35" s="84"/>
      <c r="AQ35" s="84"/>
      <c r="AR35" s="93">
        <f t="shared" si="40"/>
        <v>0</v>
      </c>
      <c r="AS35" s="93"/>
      <c r="AT35" s="93"/>
      <c r="AU35" s="84"/>
      <c r="AV35" s="84"/>
      <c r="AW35" s="84"/>
      <c r="AX35" s="84"/>
      <c r="AY35" s="84"/>
      <c r="AZ35" s="84"/>
      <c r="BA35" s="84"/>
      <c r="BB35" s="93">
        <f t="shared" si="41"/>
        <v>0</v>
      </c>
      <c r="BC35" s="70"/>
      <c r="BD35" s="70"/>
      <c r="BE35" s="70"/>
      <c r="BF35" s="70"/>
      <c r="BG35" s="70"/>
      <c r="BH35" s="70"/>
      <c r="BI35" s="70"/>
      <c r="BJ35" s="70"/>
      <c r="BK35" s="70"/>
    </row>
    <row r="36" spans="1:63" ht="32.25" customHeight="1" x14ac:dyDescent="0.2">
      <c r="A36" s="63" t="s">
        <v>437</v>
      </c>
      <c r="B36" s="69">
        <v>3502</v>
      </c>
      <c r="C36" s="66" t="s">
        <v>10</v>
      </c>
      <c r="D36" s="67" t="s">
        <v>10</v>
      </c>
      <c r="E36" s="67" t="s">
        <v>10</v>
      </c>
      <c r="F36" s="66" t="s">
        <v>10</v>
      </c>
      <c r="G36" s="67" t="s">
        <v>10</v>
      </c>
      <c r="H36" s="67" t="s">
        <v>10</v>
      </c>
      <c r="I36" s="66" t="s">
        <v>10</v>
      </c>
      <c r="J36" s="67" t="s">
        <v>10</v>
      </c>
      <c r="K36" s="67" t="s">
        <v>10</v>
      </c>
      <c r="L36" s="64" t="s">
        <v>10</v>
      </c>
      <c r="M36" s="64" t="s">
        <v>10</v>
      </c>
      <c r="N36" s="93">
        <f t="shared" si="37"/>
        <v>0</v>
      </c>
      <c r="O36" s="93"/>
      <c r="P36" s="93"/>
      <c r="Q36" s="84"/>
      <c r="R36" s="84"/>
      <c r="S36" s="84"/>
      <c r="T36" s="84"/>
      <c r="U36" s="84"/>
      <c r="V36" s="84"/>
      <c r="W36" s="84"/>
      <c r="X36" s="93">
        <f t="shared" si="38"/>
        <v>0</v>
      </c>
      <c r="Y36" s="93"/>
      <c r="Z36" s="93"/>
      <c r="AA36" s="84"/>
      <c r="AB36" s="84"/>
      <c r="AC36" s="84"/>
      <c r="AD36" s="84"/>
      <c r="AE36" s="84"/>
      <c r="AF36" s="84"/>
      <c r="AG36" s="84"/>
      <c r="AH36" s="93">
        <f t="shared" si="39"/>
        <v>0</v>
      </c>
      <c r="AI36" s="93"/>
      <c r="AJ36" s="93"/>
      <c r="AK36" s="84"/>
      <c r="AL36" s="84"/>
      <c r="AM36" s="84"/>
      <c r="AN36" s="84"/>
      <c r="AO36" s="84"/>
      <c r="AP36" s="84"/>
      <c r="AQ36" s="84"/>
      <c r="AR36" s="93">
        <f t="shared" si="40"/>
        <v>0</v>
      </c>
      <c r="AS36" s="93"/>
      <c r="AT36" s="93"/>
      <c r="AU36" s="84"/>
      <c r="AV36" s="84"/>
      <c r="AW36" s="84"/>
      <c r="AX36" s="84"/>
      <c r="AY36" s="84"/>
      <c r="AZ36" s="84"/>
      <c r="BA36" s="84"/>
      <c r="BB36" s="93">
        <f t="shared" si="41"/>
        <v>0</v>
      </c>
      <c r="BC36" s="70"/>
      <c r="BD36" s="70"/>
      <c r="BE36" s="70"/>
      <c r="BF36" s="70"/>
      <c r="BG36" s="70"/>
      <c r="BH36" s="70"/>
      <c r="BI36" s="70"/>
      <c r="BJ36" s="70"/>
      <c r="BK36" s="70"/>
    </row>
    <row r="37" spans="1:63" ht="22.5" customHeight="1" x14ac:dyDescent="0.2">
      <c r="A37" s="9" t="s">
        <v>0</v>
      </c>
      <c r="B37" s="14">
        <v>8000</v>
      </c>
      <c r="C37" s="19" t="s">
        <v>10</v>
      </c>
      <c r="D37" s="20" t="s">
        <v>10</v>
      </c>
      <c r="E37" s="20" t="s">
        <v>10</v>
      </c>
      <c r="F37" s="19" t="s">
        <v>10</v>
      </c>
      <c r="G37" s="20" t="s">
        <v>10</v>
      </c>
      <c r="H37" s="20" t="s">
        <v>10</v>
      </c>
      <c r="I37" s="19" t="s">
        <v>10</v>
      </c>
      <c r="J37" s="20" t="s">
        <v>10</v>
      </c>
      <c r="K37" s="20" t="s">
        <v>10</v>
      </c>
      <c r="L37" s="13" t="s">
        <v>10</v>
      </c>
      <c r="M37" s="13" t="s">
        <v>10</v>
      </c>
      <c r="N37" s="93">
        <f t="shared" si="37"/>
        <v>0</v>
      </c>
      <c r="O37" s="93"/>
      <c r="P37" s="93"/>
      <c r="Q37" s="93"/>
      <c r="R37" s="93"/>
      <c r="S37" s="93"/>
      <c r="T37" s="93"/>
      <c r="U37" s="93"/>
      <c r="V37" s="93"/>
      <c r="W37" s="93"/>
      <c r="X37" s="93">
        <f t="shared" si="38"/>
        <v>0</v>
      </c>
      <c r="Y37" s="93"/>
      <c r="Z37" s="93"/>
      <c r="AA37" s="93"/>
      <c r="AB37" s="93"/>
      <c r="AC37" s="93"/>
      <c r="AD37" s="93"/>
      <c r="AE37" s="93"/>
      <c r="AF37" s="93"/>
      <c r="AG37" s="93"/>
      <c r="AH37" s="93">
        <f t="shared" si="39"/>
        <v>0</v>
      </c>
      <c r="AI37" s="93"/>
      <c r="AJ37" s="93"/>
      <c r="AK37" s="93"/>
      <c r="AL37" s="93"/>
      <c r="AM37" s="93"/>
      <c r="AN37" s="93"/>
      <c r="AO37" s="93"/>
      <c r="AP37" s="93"/>
      <c r="AQ37" s="93"/>
      <c r="AR37" s="93">
        <f t="shared" si="40"/>
        <v>0</v>
      </c>
      <c r="AS37" s="93"/>
      <c r="AT37" s="93"/>
      <c r="AU37" s="93"/>
      <c r="AV37" s="93"/>
      <c r="AW37" s="93"/>
      <c r="AX37" s="93"/>
      <c r="AY37" s="93"/>
      <c r="AZ37" s="93"/>
      <c r="BA37" s="93"/>
      <c r="BB37" s="93">
        <f t="shared" si="41"/>
        <v>0</v>
      </c>
      <c r="BC37" s="12"/>
      <c r="BD37" s="12"/>
      <c r="BE37" s="12"/>
      <c r="BF37" s="12"/>
      <c r="BG37" s="12"/>
      <c r="BH37" s="12"/>
      <c r="BI37" s="12"/>
      <c r="BJ37" s="12"/>
      <c r="BK37" s="12"/>
    </row>
    <row r="39" spans="1:63" x14ac:dyDescent="0.2">
      <c r="A39" s="216" t="s">
        <v>242</v>
      </c>
      <c r="B39" s="216"/>
      <c r="C39" s="216"/>
      <c r="D39" s="216"/>
      <c r="E39" s="216"/>
    </row>
    <row r="41" spans="1:63" x14ac:dyDescent="0.2">
      <c r="A41" t="s">
        <v>236</v>
      </c>
    </row>
  </sheetData>
  <mergeCells count="23">
    <mergeCell ref="L4:M5"/>
    <mergeCell ref="L3:BB3"/>
    <mergeCell ref="AR4:BB5"/>
    <mergeCell ref="AH4:AH6"/>
    <mergeCell ref="AH1:AQ1"/>
    <mergeCell ref="AH2:AQ2"/>
    <mergeCell ref="N1:W1"/>
    <mergeCell ref="N2:W2"/>
    <mergeCell ref="X1:AG1"/>
    <mergeCell ref="X2:AG2"/>
    <mergeCell ref="N5:N6"/>
    <mergeCell ref="X5:X6"/>
    <mergeCell ref="N4:X4"/>
    <mergeCell ref="A39:E39"/>
    <mergeCell ref="A1:H1"/>
    <mergeCell ref="A2:H2"/>
    <mergeCell ref="A3:H3"/>
    <mergeCell ref="A4:A6"/>
    <mergeCell ref="B4:B6"/>
    <mergeCell ref="C4:I4"/>
    <mergeCell ref="C5:E5"/>
    <mergeCell ref="F5:H5"/>
    <mergeCell ref="I5:K5"/>
  </mergeCells>
  <pageMargins left="0.31496062992125984" right="0.31496062992125984" top="0.19685039370078741" bottom="0.19685039370078741" header="0.19685039370078741" footer="0"/>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
  <sheetViews>
    <sheetView view="pageBreakPreview" zoomScale="80" zoomScaleNormal="90" zoomScaleSheetLayoutView="80" workbookViewId="0">
      <pane xSplit="8" ySplit="7" topLeftCell="I8" activePane="bottomRight" state="frozen"/>
      <selection pane="topRight" activeCell="I1" sqref="I1"/>
      <selection pane="bottomLeft" activeCell="A7" sqref="A7"/>
      <selection pane="bottomRight" activeCell="T11" sqref="T11"/>
    </sheetView>
  </sheetViews>
  <sheetFormatPr defaultColWidth="9.140625" defaultRowHeight="12.75" x14ac:dyDescent="0.2"/>
  <cols>
    <col min="1" max="1" width="45.140625" customWidth="1"/>
    <col min="2" max="2" width="6.42578125" customWidth="1"/>
    <col min="3" max="3" width="22.140625" hidden="1" customWidth="1"/>
    <col min="4" max="4" width="0" hidden="1" customWidth="1"/>
    <col min="5" max="5" width="11" hidden="1" customWidth="1"/>
    <col min="6" max="6" width="10.28515625" hidden="1" customWidth="1"/>
    <col min="7" max="8" width="0" hidden="1" customWidth="1"/>
    <col min="9" max="9" width="29.42578125" hidden="1" customWidth="1"/>
    <col min="10" max="10" width="0" hidden="1" customWidth="1"/>
    <col min="11" max="11" width="10.85546875" hidden="1" customWidth="1"/>
    <col min="12" max="12" width="7.140625" customWidth="1"/>
    <col min="13" max="13" width="8.5703125" customWidth="1"/>
    <col min="14" max="14" width="9.140625" style="142" customWidth="1"/>
    <col min="15" max="16" width="9.140625" style="142" hidden="1" customWidth="1"/>
    <col min="17" max="17" width="9.7109375" style="142" customWidth="1"/>
    <col min="18" max="19" width="9.7109375" style="142" hidden="1" customWidth="1"/>
    <col min="20" max="20" width="8.7109375" style="142" customWidth="1"/>
    <col min="21" max="22" width="8.7109375" style="142" hidden="1" customWidth="1"/>
    <col min="23" max="23" width="9.42578125" style="142" customWidth="1"/>
    <col min="24" max="24" width="9.42578125" style="142" hidden="1" customWidth="1"/>
    <col min="25" max="25" width="9.85546875" style="142" customWidth="1"/>
    <col min="26" max="26" width="9.85546875" hidden="1" customWidth="1"/>
    <col min="27" max="27" width="9.85546875" customWidth="1"/>
  </cols>
  <sheetData>
    <row r="1" spans="1:26" x14ac:dyDescent="0.2">
      <c r="A1" s="193" t="s">
        <v>232</v>
      </c>
      <c r="B1" s="193"/>
      <c r="C1" s="193"/>
      <c r="D1" s="193"/>
      <c r="E1" s="193"/>
      <c r="F1" s="193"/>
      <c r="G1" s="193"/>
      <c r="H1" s="193"/>
      <c r="I1" s="48"/>
      <c r="J1" s="48"/>
      <c r="K1" s="48"/>
      <c r="L1" s="48"/>
      <c r="M1" s="48"/>
      <c r="N1" s="161"/>
      <c r="O1" s="161"/>
      <c r="P1" s="161"/>
      <c r="Q1" s="161"/>
      <c r="R1" s="161"/>
      <c r="S1" s="161"/>
      <c r="T1" s="205"/>
      <c r="U1" s="205"/>
      <c r="V1" s="205"/>
      <c r="W1" s="205"/>
      <c r="X1" s="169"/>
      <c r="Y1" s="169"/>
      <c r="Z1" s="15"/>
    </row>
    <row r="2" spans="1:26" x14ac:dyDescent="0.2">
      <c r="A2" s="217" t="s">
        <v>516</v>
      </c>
      <c r="B2" s="217"/>
      <c r="C2" s="217"/>
      <c r="D2" s="217"/>
      <c r="E2" s="217"/>
      <c r="F2" s="217"/>
      <c r="G2" s="217"/>
      <c r="H2" s="217"/>
      <c r="I2" s="57"/>
      <c r="J2" s="57"/>
      <c r="K2" s="57"/>
      <c r="L2" s="57"/>
      <c r="M2" s="57"/>
      <c r="N2" s="181"/>
      <c r="O2" s="181"/>
      <c r="P2" s="181"/>
      <c r="Q2" s="181"/>
      <c r="R2" s="181"/>
      <c r="S2" s="181"/>
      <c r="T2" s="205"/>
      <c r="U2" s="205"/>
      <c r="V2" s="205"/>
      <c r="W2" s="205"/>
      <c r="X2" s="169"/>
      <c r="Y2" s="169"/>
      <c r="Z2" s="15"/>
    </row>
    <row r="3" spans="1:26" x14ac:dyDescent="0.2">
      <c r="A3" s="218" t="s">
        <v>233</v>
      </c>
      <c r="B3" s="218"/>
      <c r="C3" s="218"/>
      <c r="D3" s="218"/>
      <c r="E3" s="218"/>
      <c r="F3" s="218"/>
      <c r="G3" s="218"/>
      <c r="H3" s="218"/>
      <c r="I3" s="58"/>
      <c r="J3" s="58"/>
      <c r="K3" s="58"/>
      <c r="L3" s="218"/>
      <c r="M3" s="218"/>
      <c r="N3" s="218"/>
      <c r="O3" s="218"/>
      <c r="P3" s="218"/>
      <c r="Q3" s="218"/>
      <c r="R3" s="218"/>
      <c r="S3" s="218"/>
      <c r="T3" s="218"/>
      <c r="U3" s="218"/>
      <c r="V3" s="218"/>
      <c r="W3" s="218"/>
      <c r="X3" s="218"/>
      <c r="Y3" s="218"/>
    </row>
    <row r="4" spans="1:26" ht="30" customHeight="1" x14ac:dyDescent="0.2">
      <c r="A4" s="194" t="s">
        <v>13</v>
      </c>
      <c r="B4" s="195" t="s">
        <v>9</v>
      </c>
      <c r="C4" s="197" t="s">
        <v>12</v>
      </c>
      <c r="D4" s="198"/>
      <c r="E4" s="198"/>
      <c r="F4" s="198"/>
      <c r="G4" s="198"/>
      <c r="H4" s="198"/>
      <c r="I4" s="199"/>
      <c r="J4" s="2"/>
      <c r="K4" s="2"/>
      <c r="L4" s="194" t="s">
        <v>2</v>
      </c>
      <c r="M4" s="194"/>
      <c r="N4" s="209" t="s">
        <v>787</v>
      </c>
      <c r="O4" s="209"/>
      <c r="P4" s="209"/>
      <c r="Q4" s="209"/>
      <c r="R4" s="86"/>
      <c r="S4" s="86"/>
      <c r="T4" s="209" t="s">
        <v>795</v>
      </c>
      <c r="U4" s="182"/>
      <c r="V4" s="182"/>
      <c r="W4" s="224" t="s">
        <v>311</v>
      </c>
      <c r="X4" s="224"/>
      <c r="Y4" s="225"/>
      <c r="Z4" s="18"/>
    </row>
    <row r="5" spans="1:26" ht="25.5" customHeight="1" x14ac:dyDescent="0.2">
      <c r="A5" s="194"/>
      <c r="B5" s="195"/>
      <c r="C5" s="196" t="s">
        <v>8</v>
      </c>
      <c r="D5" s="196"/>
      <c r="E5" s="196"/>
      <c r="F5" s="196" t="s">
        <v>5</v>
      </c>
      <c r="G5" s="196"/>
      <c r="H5" s="196"/>
      <c r="I5" s="196" t="s">
        <v>179</v>
      </c>
      <c r="J5" s="196"/>
      <c r="K5" s="196"/>
      <c r="L5" s="194"/>
      <c r="M5" s="194"/>
      <c r="N5" s="209" t="s">
        <v>309</v>
      </c>
      <c r="O5" s="164"/>
      <c r="P5" s="164"/>
      <c r="Q5" s="209" t="s">
        <v>310</v>
      </c>
      <c r="R5" s="164"/>
      <c r="S5" s="164"/>
      <c r="T5" s="209"/>
      <c r="U5" s="183"/>
      <c r="V5" s="164"/>
      <c r="W5" s="226"/>
      <c r="X5" s="226"/>
      <c r="Y5" s="227"/>
      <c r="Z5" s="6"/>
    </row>
    <row r="6" spans="1:26" ht="48.75" customHeight="1" x14ac:dyDescent="0.2">
      <c r="A6" s="194"/>
      <c r="B6" s="195"/>
      <c r="C6" s="4" t="s">
        <v>14</v>
      </c>
      <c r="D6" s="4" t="s">
        <v>6</v>
      </c>
      <c r="E6" s="4" t="s">
        <v>7</v>
      </c>
      <c r="F6" s="4" t="s">
        <v>14</v>
      </c>
      <c r="G6" s="4" t="s">
        <v>6</v>
      </c>
      <c r="H6" s="4" t="s">
        <v>7</v>
      </c>
      <c r="I6" s="4" t="s">
        <v>14</v>
      </c>
      <c r="J6" s="4" t="s">
        <v>6</v>
      </c>
      <c r="K6" s="4" t="s">
        <v>7</v>
      </c>
      <c r="L6" s="5" t="s">
        <v>3</v>
      </c>
      <c r="M6" s="5" t="s">
        <v>4</v>
      </c>
      <c r="N6" s="209"/>
      <c r="O6" s="166" t="s">
        <v>19</v>
      </c>
      <c r="P6" s="166" t="s">
        <v>25</v>
      </c>
      <c r="Q6" s="209"/>
      <c r="R6" s="166" t="s">
        <v>19</v>
      </c>
      <c r="S6" s="166" t="s">
        <v>25</v>
      </c>
      <c r="T6" s="209"/>
      <c r="U6" s="184" t="s">
        <v>19</v>
      </c>
      <c r="V6" s="166" t="s">
        <v>25</v>
      </c>
      <c r="W6" s="170" t="s">
        <v>791</v>
      </c>
      <c r="X6" s="166" t="s">
        <v>19</v>
      </c>
      <c r="Y6" s="170" t="s">
        <v>790</v>
      </c>
      <c r="Z6" s="16" t="s">
        <v>19</v>
      </c>
    </row>
    <row r="7" spans="1:26" s="1" customFormat="1" x14ac:dyDescent="0.2">
      <c r="A7" s="3">
        <v>1</v>
      </c>
      <c r="B7" s="3">
        <v>2</v>
      </c>
      <c r="C7" s="3">
        <v>3</v>
      </c>
      <c r="D7" s="3">
        <v>4</v>
      </c>
      <c r="E7" s="3">
        <v>5</v>
      </c>
      <c r="F7" s="3">
        <v>6</v>
      </c>
      <c r="G7" s="3">
        <v>7</v>
      </c>
      <c r="H7" s="3">
        <v>8</v>
      </c>
      <c r="I7" s="3">
        <v>9</v>
      </c>
      <c r="J7" s="3">
        <v>10</v>
      </c>
      <c r="K7" s="3">
        <v>11</v>
      </c>
      <c r="L7" s="3">
        <v>12</v>
      </c>
      <c r="M7" s="3">
        <v>13</v>
      </c>
      <c r="N7" s="167">
        <v>17</v>
      </c>
      <c r="O7" s="167"/>
      <c r="P7" s="167"/>
      <c r="Q7" s="167">
        <v>17</v>
      </c>
      <c r="R7" s="167"/>
      <c r="S7" s="167"/>
      <c r="T7" s="167">
        <v>17</v>
      </c>
      <c r="U7" s="167"/>
      <c r="V7" s="167"/>
      <c r="W7" s="167">
        <v>17</v>
      </c>
      <c r="X7" s="167"/>
      <c r="Y7" s="167">
        <v>17</v>
      </c>
      <c r="Z7" s="3"/>
    </row>
    <row r="8" spans="1:26" ht="42" customHeight="1" x14ac:dyDescent="0.2">
      <c r="A8" s="60" t="s">
        <v>316</v>
      </c>
      <c r="B8" s="61" t="s">
        <v>315</v>
      </c>
      <c r="C8" s="60" t="s">
        <v>10</v>
      </c>
      <c r="D8" s="61" t="s">
        <v>10</v>
      </c>
      <c r="E8" s="61" t="s">
        <v>10</v>
      </c>
      <c r="F8" s="60" t="s">
        <v>10</v>
      </c>
      <c r="G8" s="61" t="s">
        <v>10</v>
      </c>
      <c r="H8" s="61" t="s">
        <v>10</v>
      </c>
      <c r="I8" s="60" t="s">
        <v>10</v>
      </c>
      <c r="J8" s="61" t="s">
        <v>10</v>
      </c>
      <c r="K8" s="61" t="s">
        <v>10</v>
      </c>
      <c r="L8" s="61" t="s">
        <v>10</v>
      </c>
      <c r="M8" s="61" t="s">
        <v>10</v>
      </c>
      <c r="N8" s="78">
        <f>O8+P8</f>
        <v>2707.7</v>
      </c>
      <c r="O8" s="78">
        <f>O9+O11</f>
        <v>2707.7</v>
      </c>
      <c r="P8" s="78">
        <f>P9+P11</f>
        <v>0</v>
      </c>
      <c r="Q8" s="78">
        <f>R8+S8</f>
        <v>2703.4</v>
      </c>
      <c r="R8" s="78">
        <f>R9+R11</f>
        <v>2703.4</v>
      </c>
      <c r="S8" s="78">
        <f>S9+S11</f>
        <v>0</v>
      </c>
      <c r="T8" s="78">
        <f>U8+V8</f>
        <v>2818.8</v>
      </c>
      <c r="U8" s="78">
        <f>U9+U11</f>
        <v>2818.8</v>
      </c>
      <c r="V8" s="78">
        <f>V9+V11</f>
        <v>0</v>
      </c>
      <c r="W8" s="78">
        <f>X8</f>
        <v>2803.8</v>
      </c>
      <c r="X8" s="78">
        <f>X9+X11</f>
        <v>2803.8</v>
      </c>
      <c r="Y8" s="78">
        <f>Z8</f>
        <v>2803.8</v>
      </c>
      <c r="Z8" s="62">
        <f>Z9+Z11</f>
        <v>2803.8</v>
      </c>
    </row>
    <row r="9" spans="1:26" ht="52.5" x14ac:dyDescent="0.2">
      <c r="A9" s="60" t="s">
        <v>317</v>
      </c>
      <c r="B9" s="61">
        <v>2501</v>
      </c>
      <c r="C9" s="63" t="s">
        <v>10</v>
      </c>
      <c r="D9" s="64" t="s">
        <v>10</v>
      </c>
      <c r="E9" s="64" t="s">
        <v>10</v>
      </c>
      <c r="F9" s="63" t="s">
        <v>10</v>
      </c>
      <c r="G9" s="64" t="s">
        <v>10</v>
      </c>
      <c r="H9" s="64" t="s">
        <v>10</v>
      </c>
      <c r="I9" s="63" t="s">
        <v>10</v>
      </c>
      <c r="J9" s="64" t="s">
        <v>10</v>
      </c>
      <c r="K9" s="64" t="s">
        <v>10</v>
      </c>
      <c r="L9" s="64" t="s">
        <v>10</v>
      </c>
      <c r="M9" s="64" t="s">
        <v>10</v>
      </c>
      <c r="N9" s="78">
        <f>O9+P9</f>
        <v>0</v>
      </c>
      <c r="O9" s="78">
        <f>O10</f>
        <v>0</v>
      </c>
      <c r="P9" s="78">
        <f>P10</f>
        <v>0</v>
      </c>
      <c r="Q9" s="78">
        <f>R9+S9</f>
        <v>0</v>
      </c>
      <c r="R9" s="78">
        <f>R10</f>
        <v>0</v>
      </c>
      <c r="S9" s="78">
        <f>S10</f>
        <v>0</v>
      </c>
      <c r="T9" s="78">
        <f>U9+V9</f>
        <v>0</v>
      </c>
      <c r="U9" s="78">
        <f>U10</f>
        <v>0</v>
      </c>
      <c r="V9" s="78">
        <f>V10</f>
        <v>0</v>
      </c>
      <c r="W9" s="78">
        <f>X9</f>
        <v>0</v>
      </c>
      <c r="X9" s="78">
        <f>X10</f>
        <v>0</v>
      </c>
      <c r="Y9" s="78">
        <f>Z9</f>
        <v>0</v>
      </c>
      <c r="Z9" s="12">
        <f>Z10</f>
        <v>0</v>
      </c>
    </row>
    <row r="10" spans="1:26" ht="204" x14ac:dyDescent="0.2">
      <c r="A10" s="86" t="s">
        <v>318</v>
      </c>
      <c r="B10" s="104">
        <v>2502</v>
      </c>
      <c r="C10" s="21" t="s">
        <v>56</v>
      </c>
      <c r="D10" s="21" t="s">
        <v>57</v>
      </c>
      <c r="E10" s="21" t="s">
        <v>154</v>
      </c>
      <c r="F10" s="21" t="s">
        <v>181</v>
      </c>
      <c r="G10" s="21" t="s">
        <v>63</v>
      </c>
      <c r="H10" s="21" t="s">
        <v>182</v>
      </c>
      <c r="I10" s="21" t="s">
        <v>191</v>
      </c>
      <c r="J10" s="21" t="s">
        <v>188</v>
      </c>
      <c r="K10" s="21" t="s">
        <v>192</v>
      </c>
      <c r="L10" s="17" t="s">
        <v>20</v>
      </c>
      <c r="M10" s="23" t="s">
        <v>157</v>
      </c>
      <c r="N10" s="149">
        <f>SUM(O10:P10)</f>
        <v>0</v>
      </c>
      <c r="O10" s="149"/>
      <c r="P10" s="149"/>
      <c r="Q10" s="149">
        <f>SUM(R10:S10)</f>
        <v>0</v>
      </c>
      <c r="R10" s="149"/>
      <c r="S10" s="149">
        <v>0</v>
      </c>
      <c r="T10" s="149">
        <f>SUM(U10:V10)</f>
        <v>0</v>
      </c>
      <c r="U10" s="149"/>
      <c r="V10" s="149"/>
      <c r="W10" s="149">
        <f>SUM(X10:X10)</f>
        <v>0</v>
      </c>
      <c r="X10" s="149">
        <v>0</v>
      </c>
      <c r="Y10" s="149">
        <f>SUM(Z10:Z10)</f>
        <v>0</v>
      </c>
      <c r="Z10" s="108">
        <v>0</v>
      </c>
    </row>
    <row r="11" spans="1:26" ht="73.5" x14ac:dyDescent="0.2">
      <c r="A11" s="60" t="s">
        <v>349</v>
      </c>
      <c r="B11" s="64" t="s">
        <v>350</v>
      </c>
      <c r="C11" s="66" t="s">
        <v>10</v>
      </c>
      <c r="D11" s="67" t="s">
        <v>10</v>
      </c>
      <c r="E11" s="67" t="s">
        <v>10</v>
      </c>
      <c r="F11" s="66" t="s">
        <v>10</v>
      </c>
      <c r="G11" s="67" t="s">
        <v>10</v>
      </c>
      <c r="H11" s="67" t="s">
        <v>10</v>
      </c>
      <c r="I11" s="66" t="s">
        <v>10</v>
      </c>
      <c r="J11" s="67" t="s">
        <v>10</v>
      </c>
      <c r="K11" s="67" t="s">
        <v>10</v>
      </c>
      <c r="L11" s="64" t="s">
        <v>10</v>
      </c>
      <c r="M11" s="64" t="s">
        <v>10</v>
      </c>
      <c r="N11" s="100">
        <f>O11</f>
        <v>2707.7</v>
      </c>
      <c r="O11" s="100">
        <f>O12</f>
        <v>2707.7</v>
      </c>
      <c r="P11" s="100"/>
      <c r="Q11" s="100">
        <f>R11</f>
        <v>2703.4</v>
      </c>
      <c r="R11" s="100">
        <f>R12</f>
        <v>2703.4</v>
      </c>
      <c r="S11" s="100"/>
      <c r="T11" s="100">
        <f>U11</f>
        <v>2818.8</v>
      </c>
      <c r="U11" s="100">
        <f>U12</f>
        <v>2818.8</v>
      </c>
      <c r="V11" s="100"/>
      <c r="W11" s="100">
        <f>X11</f>
        <v>2803.8</v>
      </c>
      <c r="X11" s="100">
        <f>X12</f>
        <v>2803.8</v>
      </c>
      <c r="Y11" s="100">
        <f>Z11</f>
        <v>2803.8</v>
      </c>
      <c r="Z11" s="11">
        <f>Z12</f>
        <v>2803.8</v>
      </c>
    </row>
    <row r="12" spans="1:26" s="142" customFormat="1" ht="33.75" x14ac:dyDescent="0.2">
      <c r="A12" s="86" t="s">
        <v>595</v>
      </c>
      <c r="B12" s="8">
        <v>2606</v>
      </c>
      <c r="C12" s="75"/>
      <c r="D12" s="76"/>
      <c r="E12" s="76"/>
      <c r="F12" s="75"/>
      <c r="G12" s="76"/>
      <c r="H12" s="76"/>
      <c r="I12" s="75"/>
      <c r="J12" s="76"/>
      <c r="K12" s="76"/>
      <c r="L12" s="77"/>
      <c r="M12" s="77"/>
      <c r="N12" s="100">
        <f>O12</f>
        <v>2707.7</v>
      </c>
      <c r="O12" s="100">
        <v>2707.7</v>
      </c>
      <c r="P12" s="100"/>
      <c r="Q12" s="100">
        <f>R12</f>
        <v>2703.4</v>
      </c>
      <c r="R12" s="100">
        <v>2703.4</v>
      </c>
      <c r="S12" s="100"/>
      <c r="T12" s="100">
        <f>U12</f>
        <v>2818.8</v>
      </c>
      <c r="U12" s="100">
        <v>2818.8</v>
      </c>
      <c r="V12" s="100"/>
      <c r="W12" s="100">
        <f>X12</f>
        <v>2803.8</v>
      </c>
      <c r="X12" s="100">
        <v>2803.8</v>
      </c>
      <c r="Y12" s="100">
        <f>Z12</f>
        <v>2803.8</v>
      </c>
      <c r="Z12" s="100">
        <v>2803.8</v>
      </c>
    </row>
    <row r="13" spans="1:26" ht="73.5" x14ac:dyDescent="0.2">
      <c r="A13" s="60" t="s">
        <v>358</v>
      </c>
      <c r="B13" s="61" t="s">
        <v>357</v>
      </c>
      <c r="C13" s="66" t="s">
        <v>10</v>
      </c>
      <c r="D13" s="67" t="s">
        <v>10</v>
      </c>
      <c r="E13" s="67" t="s">
        <v>10</v>
      </c>
      <c r="F13" s="66" t="s">
        <v>10</v>
      </c>
      <c r="G13" s="67" t="s">
        <v>10</v>
      </c>
      <c r="H13" s="67" t="s">
        <v>10</v>
      </c>
      <c r="I13" s="66" t="s">
        <v>10</v>
      </c>
      <c r="J13" s="67" t="s">
        <v>10</v>
      </c>
      <c r="K13" s="67" t="s">
        <v>10</v>
      </c>
      <c r="L13" s="64" t="s">
        <v>10</v>
      </c>
      <c r="M13" s="64" t="s">
        <v>10</v>
      </c>
      <c r="N13" s="100"/>
      <c r="O13" s="100"/>
      <c r="P13" s="100"/>
      <c r="Q13" s="100"/>
      <c r="R13" s="100"/>
      <c r="S13" s="100"/>
      <c r="T13" s="100"/>
      <c r="U13" s="100"/>
      <c r="V13" s="100"/>
      <c r="W13" s="100"/>
      <c r="X13" s="100"/>
      <c r="Y13" s="100"/>
      <c r="Z13" s="11"/>
    </row>
    <row r="14" spans="1:26" ht="22.5" x14ac:dyDescent="0.2">
      <c r="A14" s="65" t="s">
        <v>359</v>
      </c>
      <c r="B14" s="69">
        <v>2701</v>
      </c>
      <c r="C14" s="66" t="s">
        <v>10</v>
      </c>
      <c r="D14" s="67" t="s">
        <v>10</v>
      </c>
      <c r="E14" s="67" t="s">
        <v>10</v>
      </c>
      <c r="F14" s="66" t="s">
        <v>10</v>
      </c>
      <c r="G14" s="67" t="s">
        <v>10</v>
      </c>
      <c r="H14" s="67" t="s">
        <v>10</v>
      </c>
      <c r="I14" s="66" t="s">
        <v>10</v>
      </c>
      <c r="J14" s="67" t="s">
        <v>10</v>
      </c>
      <c r="K14" s="67" t="s">
        <v>10</v>
      </c>
      <c r="L14" s="64" t="s">
        <v>10</v>
      </c>
      <c r="M14" s="64" t="s">
        <v>10</v>
      </c>
      <c r="N14" s="100"/>
      <c r="O14" s="100"/>
      <c r="P14" s="100"/>
      <c r="Q14" s="100"/>
      <c r="R14" s="100"/>
      <c r="S14" s="100"/>
      <c r="T14" s="100"/>
      <c r="U14" s="100"/>
      <c r="V14" s="100"/>
      <c r="W14" s="100"/>
      <c r="X14" s="100"/>
      <c r="Y14" s="100"/>
      <c r="Z14" s="11"/>
    </row>
    <row r="15" spans="1:26" ht="63.75" customHeight="1" x14ac:dyDescent="0.2">
      <c r="A15" s="65" t="s">
        <v>360</v>
      </c>
      <c r="B15" s="69">
        <v>2800</v>
      </c>
      <c r="C15" s="66" t="s">
        <v>10</v>
      </c>
      <c r="D15" s="67" t="s">
        <v>10</v>
      </c>
      <c r="E15" s="67" t="s">
        <v>10</v>
      </c>
      <c r="F15" s="66" t="s">
        <v>10</v>
      </c>
      <c r="G15" s="67" t="s">
        <v>10</v>
      </c>
      <c r="H15" s="67" t="s">
        <v>10</v>
      </c>
      <c r="I15" s="66" t="s">
        <v>10</v>
      </c>
      <c r="J15" s="67" t="s">
        <v>10</v>
      </c>
      <c r="K15" s="67" t="s">
        <v>10</v>
      </c>
      <c r="L15" s="64" t="s">
        <v>10</v>
      </c>
      <c r="M15" s="64" t="s">
        <v>10</v>
      </c>
      <c r="N15" s="100"/>
      <c r="O15" s="100"/>
      <c r="P15" s="100"/>
      <c r="Q15" s="100"/>
      <c r="R15" s="100"/>
      <c r="S15" s="100"/>
      <c r="T15" s="100"/>
      <c r="U15" s="100"/>
      <c r="V15" s="100"/>
      <c r="W15" s="100"/>
      <c r="X15" s="100"/>
      <c r="Y15" s="100"/>
      <c r="Z15" s="11"/>
    </row>
    <row r="16" spans="1:26" ht="67.5" x14ac:dyDescent="0.2">
      <c r="A16" s="65" t="s">
        <v>361</v>
      </c>
      <c r="B16" s="69">
        <v>2900</v>
      </c>
      <c r="C16" s="66" t="s">
        <v>10</v>
      </c>
      <c r="D16" s="67" t="s">
        <v>10</v>
      </c>
      <c r="E16" s="67" t="s">
        <v>10</v>
      </c>
      <c r="F16" s="66" t="s">
        <v>10</v>
      </c>
      <c r="G16" s="67" t="s">
        <v>10</v>
      </c>
      <c r="H16" s="67" t="s">
        <v>10</v>
      </c>
      <c r="I16" s="66" t="s">
        <v>10</v>
      </c>
      <c r="J16" s="67" t="s">
        <v>10</v>
      </c>
      <c r="K16" s="67" t="s">
        <v>10</v>
      </c>
      <c r="L16" s="64" t="s">
        <v>10</v>
      </c>
      <c r="M16" s="64" t="s">
        <v>10</v>
      </c>
      <c r="N16" s="100"/>
      <c r="O16" s="100"/>
      <c r="P16" s="100"/>
      <c r="Q16" s="100"/>
      <c r="R16" s="100"/>
      <c r="S16" s="100"/>
      <c r="T16" s="100"/>
      <c r="U16" s="100"/>
      <c r="V16" s="100"/>
      <c r="W16" s="100"/>
      <c r="X16" s="100"/>
      <c r="Y16" s="100"/>
      <c r="Z16" s="11"/>
    </row>
    <row r="17" spans="1:26" ht="63.75" customHeight="1" x14ac:dyDescent="0.2">
      <c r="A17" s="65" t="s">
        <v>363</v>
      </c>
      <c r="B17" s="69">
        <v>3000</v>
      </c>
      <c r="C17" s="66" t="s">
        <v>10</v>
      </c>
      <c r="D17" s="67" t="s">
        <v>10</v>
      </c>
      <c r="E17" s="67" t="s">
        <v>10</v>
      </c>
      <c r="F17" s="66" t="s">
        <v>10</v>
      </c>
      <c r="G17" s="67" t="s">
        <v>10</v>
      </c>
      <c r="H17" s="67" t="s">
        <v>10</v>
      </c>
      <c r="I17" s="66" t="s">
        <v>10</v>
      </c>
      <c r="J17" s="67" t="s">
        <v>10</v>
      </c>
      <c r="K17" s="67" t="s">
        <v>10</v>
      </c>
      <c r="L17" s="64" t="s">
        <v>10</v>
      </c>
      <c r="M17" s="64" t="s">
        <v>10</v>
      </c>
      <c r="N17" s="100"/>
      <c r="O17" s="100"/>
      <c r="P17" s="100"/>
      <c r="Q17" s="100"/>
      <c r="R17" s="100"/>
      <c r="S17" s="100"/>
      <c r="T17" s="100"/>
      <c r="U17" s="100"/>
      <c r="V17" s="100"/>
      <c r="W17" s="100"/>
      <c r="X17" s="100"/>
      <c r="Y17" s="100"/>
      <c r="Z17" s="11"/>
    </row>
    <row r="18" spans="1:26" ht="94.5" x14ac:dyDescent="0.2">
      <c r="A18" s="60" t="s">
        <v>364</v>
      </c>
      <c r="B18" s="122">
        <v>3100</v>
      </c>
      <c r="C18" s="66" t="s">
        <v>10</v>
      </c>
      <c r="D18" s="67" t="s">
        <v>10</v>
      </c>
      <c r="E18" s="67" t="s">
        <v>10</v>
      </c>
      <c r="F18" s="66" t="s">
        <v>10</v>
      </c>
      <c r="G18" s="67" t="s">
        <v>10</v>
      </c>
      <c r="H18" s="67" t="s">
        <v>10</v>
      </c>
      <c r="I18" s="66" t="s">
        <v>10</v>
      </c>
      <c r="J18" s="67" t="s">
        <v>10</v>
      </c>
      <c r="K18" s="67" t="s">
        <v>10</v>
      </c>
      <c r="L18" s="64" t="s">
        <v>10</v>
      </c>
      <c r="M18" s="64" t="s">
        <v>10</v>
      </c>
      <c r="N18" s="100"/>
      <c r="O18" s="100"/>
      <c r="P18" s="100"/>
      <c r="Q18" s="100"/>
      <c r="R18" s="100"/>
      <c r="S18" s="100"/>
      <c r="T18" s="100"/>
      <c r="U18" s="100"/>
      <c r="V18" s="100"/>
      <c r="W18" s="100"/>
      <c r="X18" s="100"/>
      <c r="Y18" s="100"/>
      <c r="Z18" s="11"/>
    </row>
    <row r="19" spans="1:26" ht="22.5" x14ac:dyDescent="0.2">
      <c r="A19" s="65" t="s">
        <v>365</v>
      </c>
      <c r="B19" s="69">
        <v>3101</v>
      </c>
      <c r="C19" s="66" t="s">
        <v>10</v>
      </c>
      <c r="D19" s="67" t="s">
        <v>10</v>
      </c>
      <c r="E19" s="67" t="s">
        <v>10</v>
      </c>
      <c r="F19" s="66" t="s">
        <v>10</v>
      </c>
      <c r="G19" s="67" t="s">
        <v>10</v>
      </c>
      <c r="H19" s="67" t="s">
        <v>10</v>
      </c>
      <c r="I19" s="66" t="s">
        <v>10</v>
      </c>
      <c r="J19" s="67" t="s">
        <v>10</v>
      </c>
      <c r="K19" s="67" t="s">
        <v>10</v>
      </c>
      <c r="L19" s="64" t="s">
        <v>10</v>
      </c>
      <c r="M19" s="64" t="s">
        <v>10</v>
      </c>
      <c r="N19" s="100"/>
      <c r="O19" s="100"/>
      <c r="P19" s="100"/>
      <c r="Q19" s="100"/>
      <c r="R19" s="100"/>
      <c r="S19" s="100"/>
      <c r="T19" s="100"/>
      <c r="U19" s="100"/>
      <c r="V19" s="100"/>
      <c r="W19" s="100"/>
      <c r="X19" s="100"/>
      <c r="Y19" s="100"/>
      <c r="Z19" s="11"/>
    </row>
    <row r="20" spans="1:26" ht="22.5" x14ac:dyDescent="0.2">
      <c r="A20" s="65" t="s">
        <v>370</v>
      </c>
      <c r="B20" s="69">
        <v>3200</v>
      </c>
      <c r="C20" s="66"/>
      <c r="D20" s="66"/>
      <c r="E20" s="66"/>
      <c r="F20" s="66"/>
      <c r="G20" s="67"/>
      <c r="H20" s="71"/>
      <c r="I20" s="72"/>
      <c r="J20" s="72"/>
      <c r="K20" s="73"/>
      <c r="L20" s="64"/>
      <c r="M20" s="64"/>
      <c r="N20" s="100"/>
      <c r="O20" s="100"/>
      <c r="P20" s="100"/>
      <c r="Q20" s="100"/>
      <c r="R20" s="100"/>
      <c r="S20" s="100"/>
      <c r="T20" s="100"/>
      <c r="U20" s="100"/>
      <c r="V20" s="100"/>
      <c r="W20" s="100"/>
      <c r="X20" s="100"/>
      <c r="Y20" s="100"/>
      <c r="Z20" s="11"/>
    </row>
    <row r="21" spans="1:26" ht="45" x14ac:dyDescent="0.2">
      <c r="A21" s="65" t="s">
        <v>431</v>
      </c>
      <c r="B21" s="69">
        <v>3300</v>
      </c>
      <c r="C21" s="66" t="s">
        <v>10</v>
      </c>
      <c r="D21" s="67" t="s">
        <v>10</v>
      </c>
      <c r="E21" s="67" t="s">
        <v>10</v>
      </c>
      <c r="F21" s="66" t="s">
        <v>10</v>
      </c>
      <c r="G21" s="67" t="s">
        <v>10</v>
      </c>
      <c r="H21" s="67" t="s">
        <v>10</v>
      </c>
      <c r="I21" s="66" t="s">
        <v>10</v>
      </c>
      <c r="J21" s="67" t="s">
        <v>10</v>
      </c>
      <c r="K21" s="67" t="s">
        <v>10</v>
      </c>
      <c r="L21" s="64" t="s">
        <v>10</v>
      </c>
      <c r="M21" s="64" t="s">
        <v>10</v>
      </c>
      <c r="N21" s="100"/>
      <c r="O21" s="100"/>
      <c r="P21" s="100"/>
      <c r="Q21" s="100"/>
      <c r="R21" s="100"/>
      <c r="S21" s="100"/>
      <c r="T21" s="100"/>
      <c r="U21" s="100"/>
      <c r="V21" s="100"/>
      <c r="W21" s="100"/>
      <c r="X21" s="100"/>
      <c r="Y21" s="100"/>
      <c r="Z21" s="11"/>
    </row>
    <row r="22" spans="1:26" ht="52.5" x14ac:dyDescent="0.2">
      <c r="A22" s="60" t="s">
        <v>432</v>
      </c>
      <c r="B22" s="69">
        <v>3400</v>
      </c>
      <c r="C22" s="66" t="s">
        <v>10</v>
      </c>
      <c r="D22" s="67" t="s">
        <v>10</v>
      </c>
      <c r="E22" s="67" t="s">
        <v>10</v>
      </c>
      <c r="F22" s="66" t="s">
        <v>10</v>
      </c>
      <c r="G22" s="67" t="s">
        <v>10</v>
      </c>
      <c r="H22" s="67" t="s">
        <v>10</v>
      </c>
      <c r="I22" s="66" t="s">
        <v>10</v>
      </c>
      <c r="J22" s="67" t="s">
        <v>10</v>
      </c>
      <c r="K22" s="67" t="s">
        <v>10</v>
      </c>
      <c r="L22" s="64" t="s">
        <v>10</v>
      </c>
      <c r="M22" s="64" t="s">
        <v>10</v>
      </c>
      <c r="N22" s="100"/>
      <c r="O22" s="100"/>
      <c r="P22" s="100"/>
      <c r="Q22" s="100"/>
      <c r="R22" s="100"/>
      <c r="S22" s="100"/>
      <c r="T22" s="100"/>
      <c r="U22" s="100"/>
      <c r="V22" s="100"/>
      <c r="W22" s="100"/>
      <c r="X22" s="100"/>
      <c r="Y22" s="100"/>
      <c r="Z22" s="11"/>
    </row>
    <row r="23" spans="1:26" ht="63" x14ac:dyDescent="0.2">
      <c r="A23" s="60" t="s">
        <v>435</v>
      </c>
      <c r="B23" s="122">
        <v>3500</v>
      </c>
      <c r="C23" s="66" t="s">
        <v>10</v>
      </c>
      <c r="D23" s="67" t="s">
        <v>10</v>
      </c>
      <c r="E23" s="67" t="s">
        <v>10</v>
      </c>
      <c r="F23" s="66" t="s">
        <v>10</v>
      </c>
      <c r="G23" s="67" t="s">
        <v>10</v>
      </c>
      <c r="H23" s="67" t="s">
        <v>10</v>
      </c>
      <c r="I23" s="66" t="s">
        <v>10</v>
      </c>
      <c r="J23" s="67" t="s">
        <v>10</v>
      </c>
      <c r="K23" s="67" t="s">
        <v>10</v>
      </c>
      <c r="L23" s="64" t="s">
        <v>10</v>
      </c>
      <c r="M23" s="64" t="s">
        <v>10</v>
      </c>
      <c r="N23" s="100"/>
      <c r="O23" s="100"/>
      <c r="P23" s="100"/>
      <c r="Q23" s="100"/>
      <c r="R23" s="100"/>
      <c r="S23" s="100"/>
      <c r="T23" s="100"/>
      <c r="U23" s="100"/>
      <c r="V23" s="100"/>
      <c r="W23" s="100"/>
      <c r="X23" s="100"/>
      <c r="Y23" s="100"/>
      <c r="Z23" s="11"/>
    </row>
    <row r="24" spans="1:26" ht="22.5" x14ac:dyDescent="0.2">
      <c r="A24" s="63" t="s">
        <v>436</v>
      </c>
      <c r="B24" s="69">
        <v>3501</v>
      </c>
      <c r="C24" s="66" t="s">
        <v>10</v>
      </c>
      <c r="D24" s="67" t="s">
        <v>10</v>
      </c>
      <c r="E24" s="67" t="s">
        <v>10</v>
      </c>
      <c r="F24" s="66" t="s">
        <v>10</v>
      </c>
      <c r="G24" s="67" t="s">
        <v>10</v>
      </c>
      <c r="H24" s="67" t="s">
        <v>10</v>
      </c>
      <c r="I24" s="66" t="s">
        <v>10</v>
      </c>
      <c r="J24" s="67" t="s">
        <v>10</v>
      </c>
      <c r="K24" s="67" t="s">
        <v>10</v>
      </c>
      <c r="L24" s="64" t="s">
        <v>10</v>
      </c>
      <c r="M24" s="64" t="s">
        <v>10</v>
      </c>
      <c r="N24" s="100"/>
      <c r="O24" s="100"/>
      <c r="P24" s="100"/>
      <c r="Q24" s="100"/>
      <c r="R24" s="100"/>
      <c r="S24" s="100"/>
      <c r="T24" s="100"/>
      <c r="U24" s="100"/>
      <c r="V24" s="100"/>
      <c r="W24" s="100"/>
      <c r="X24" s="100"/>
      <c r="Y24" s="100"/>
      <c r="Z24" s="11"/>
    </row>
    <row r="25" spans="1:26" ht="22.5" x14ac:dyDescent="0.2">
      <c r="A25" s="63" t="s">
        <v>437</v>
      </c>
      <c r="B25" s="69">
        <v>3502</v>
      </c>
      <c r="C25" s="66" t="s">
        <v>10</v>
      </c>
      <c r="D25" s="67" t="s">
        <v>10</v>
      </c>
      <c r="E25" s="67" t="s">
        <v>10</v>
      </c>
      <c r="F25" s="66" t="s">
        <v>10</v>
      </c>
      <c r="G25" s="67" t="s">
        <v>10</v>
      </c>
      <c r="H25" s="67" t="s">
        <v>10</v>
      </c>
      <c r="I25" s="66" t="s">
        <v>10</v>
      </c>
      <c r="J25" s="67" t="s">
        <v>10</v>
      </c>
      <c r="K25" s="67" t="s">
        <v>10</v>
      </c>
      <c r="L25" s="64" t="s">
        <v>10</v>
      </c>
      <c r="M25" s="64" t="s">
        <v>10</v>
      </c>
      <c r="N25" s="100"/>
      <c r="O25" s="100"/>
      <c r="P25" s="100"/>
      <c r="Q25" s="100"/>
      <c r="R25" s="100"/>
      <c r="S25" s="100"/>
      <c r="T25" s="100"/>
      <c r="U25" s="100"/>
      <c r="V25" s="100"/>
      <c r="W25" s="100"/>
      <c r="X25" s="100"/>
      <c r="Y25" s="100"/>
      <c r="Z25" s="11"/>
    </row>
    <row r="26" spans="1:26" x14ac:dyDescent="0.2">
      <c r="A26" s="9" t="s">
        <v>0</v>
      </c>
      <c r="B26" s="14">
        <v>8000</v>
      </c>
      <c r="C26" s="19" t="s">
        <v>10</v>
      </c>
      <c r="D26" s="20" t="s">
        <v>10</v>
      </c>
      <c r="E26" s="20" t="s">
        <v>10</v>
      </c>
      <c r="F26" s="19" t="s">
        <v>10</v>
      </c>
      <c r="G26" s="20" t="s">
        <v>10</v>
      </c>
      <c r="H26" s="20" t="s">
        <v>10</v>
      </c>
      <c r="I26" s="19" t="s">
        <v>10</v>
      </c>
      <c r="J26" s="20" t="s">
        <v>10</v>
      </c>
      <c r="K26" s="20" t="s">
        <v>10</v>
      </c>
      <c r="L26" s="13" t="s">
        <v>10</v>
      </c>
      <c r="M26" s="13" t="s">
        <v>10</v>
      </c>
      <c r="N26" s="78">
        <f>N8</f>
        <v>2707.7</v>
      </c>
      <c r="O26" s="78"/>
      <c r="P26" s="78"/>
      <c r="Q26" s="78">
        <f>Q8</f>
        <v>2703.4</v>
      </c>
      <c r="R26" s="78"/>
      <c r="S26" s="78"/>
      <c r="T26" s="78">
        <f>T8</f>
        <v>2818.8</v>
      </c>
      <c r="U26" s="78"/>
      <c r="V26" s="78"/>
      <c r="W26" s="78">
        <f>W8</f>
        <v>2803.8</v>
      </c>
      <c r="X26" s="78"/>
      <c r="Y26" s="78">
        <f>Y8</f>
        <v>2803.8</v>
      </c>
      <c r="Z26" s="12"/>
    </row>
    <row r="28" spans="1:26" x14ac:dyDescent="0.2">
      <c r="A28" s="216" t="s">
        <v>243</v>
      </c>
      <c r="B28" s="216"/>
      <c r="C28" s="216"/>
      <c r="D28" s="216"/>
      <c r="E28" s="216"/>
    </row>
    <row r="30" spans="1:26" x14ac:dyDescent="0.2">
      <c r="A30" t="s">
        <v>244</v>
      </c>
    </row>
  </sheetData>
  <mergeCells count="19">
    <mergeCell ref="A28:E28"/>
    <mergeCell ref="I5:K5"/>
    <mergeCell ref="A3:H3"/>
    <mergeCell ref="A2:H2"/>
    <mergeCell ref="T4:T6"/>
    <mergeCell ref="L3:Y3"/>
    <mergeCell ref="A4:A6"/>
    <mergeCell ref="B4:B6"/>
    <mergeCell ref="C4:I4"/>
    <mergeCell ref="C5:E5"/>
    <mergeCell ref="F5:H5"/>
    <mergeCell ref="L4:M5"/>
    <mergeCell ref="W4:Y5"/>
    <mergeCell ref="N4:Q4"/>
    <mergeCell ref="N5:N6"/>
    <mergeCell ref="Q5:Q6"/>
    <mergeCell ref="A1:H1"/>
    <mergeCell ref="T1:W1"/>
    <mergeCell ref="T2:W2"/>
  </mergeCells>
  <pageMargins left="0.31496062992125984" right="0.31496062992125984" top="0.19685039370078741" bottom="0.19685039370078741" header="0.19685039370078741" footer="0"/>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view="pageBreakPreview" zoomScale="80" zoomScaleNormal="90" zoomScaleSheetLayoutView="80" workbookViewId="0">
      <pane xSplit="8" ySplit="7" topLeftCell="N8" activePane="bottomRight" state="frozen"/>
      <selection pane="topRight" activeCell="I1" sqref="I1"/>
      <selection pane="bottomLeft" activeCell="A7" sqref="A7"/>
      <selection pane="bottomRight" activeCell="S10" sqref="S10"/>
    </sheetView>
  </sheetViews>
  <sheetFormatPr defaultColWidth="9.140625" defaultRowHeight="12.75" x14ac:dyDescent="0.2"/>
  <cols>
    <col min="1" max="1" width="45.140625" customWidth="1"/>
    <col min="2" max="2" width="6.42578125" customWidth="1"/>
    <col min="3" max="3" width="22.140625" customWidth="1"/>
    <col min="5" max="5" width="11" customWidth="1"/>
    <col min="6" max="6" width="29.42578125" customWidth="1"/>
    <col min="9" max="9" width="29.42578125" customWidth="1"/>
    <col min="11" max="11" width="10.85546875" bestFit="1" customWidth="1"/>
    <col min="12" max="12" width="7.140625" customWidth="1"/>
    <col min="13" max="13" width="7" customWidth="1"/>
    <col min="14" max="14" width="16.7109375" customWidth="1"/>
    <col min="15" max="15" width="7.7109375" customWidth="1"/>
    <col min="16" max="20" width="7.85546875" customWidth="1"/>
  </cols>
  <sheetData>
    <row r="1" spans="1:19" x14ac:dyDescent="0.2">
      <c r="A1" s="193" t="s">
        <v>232</v>
      </c>
      <c r="B1" s="193"/>
      <c r="C1" s="193"/>
      <c r="D1" s="193"/>
      <c r="E1" s="193"/>
      <c r="F1" s="193"/>
      <c r="G1" s="193"/>
      <c r="H1" s="193"/>
      <c r="I1" s="48"/>
      <c r="J1" s="48"/>
      <c r="K1" s="48"/>
      <c r="L1" s="48"/>
      <c r="M1" s="48"/>
      <c r="N1" s="193"/>
      <c r="O1" s="193"/>
      <c r="P1" s="193"/>
      <c r="Q1" s="15"/>
      <c r="R1" s="15"/>
      <c r="S1" s="15"/>
    </row>
    <row r="2" spans="1:19" x14ac:dyDescent="0.2">
      <c r="A2" s="217" t="s">
        <v>248</v>
      </c>
      <c r="B2" s="217"/>
      <c r="C2" s="217"/>
      <c r="D2" s="217"/>
      <c r="E2" s="217"/>
      <c r="F2" s="217"/>
      <c r="G2" s="217"/>
      <c r="H2" s="217"/>
      <c r="I2" s="15"/>
      <c r="J2" s="15"/>
      <c r="K2" s="15"/>
      <c r="L2" s="15"/>
      <c r="M2" s="15"/>
      <c r="N2" s="193"/>
      <c r="O2" s="193"/>
      <c r="P2" s="193"/>
      <c r="Q2" s="15"/>
      <c r="R2" s="15"/>
      <c r="S2" s="15"/>
    </row>
    <row r="3" spans="1:19" x14ac:dyDescent="0.2">
      <c r="A3" s="218" t="s">
        <v>233</v>
      </c>
      <c r="B3" s="218"/>
      <c r="C3" s="218"/>
      <c r="D3" s="218"/>
      <c r="E3" s="218"/>
      <c r="F3" s="218"/>
      <c r="G3" s="218"/>
      <c r="H3" s="218"/>
    </row>
    <row r="4" spans="1:19" ht="22.5" customHeight="1" x14ac:dyDescent="0.2">
      <c r="A4" s="194" t="s">
        <v>13</v>
      </c>
      <c r="B4" s="195" t="s">
        <v>9</v>
      </c>
      <c r="C4" s="197" t="s">
        <v>12</v>
      </c>
      <c r="D4" s="198"/>
      <c r="E4" s="198"/>
      <c r="F4" s="198"/>
      <c r="G4" s="198"/>
      <c r="H4" s="198"/>
      <c r="I4" s="199"/>
      <c r="J4" s="2"/>
      <c r="K4" s="2"/>
      <c r="L4" s="194" t="s">
        <v>2</v>
      </c>
      <c r="M4" s="194"/>
      <c r="N4" s="194" t="s">
        <v>312</v>
      </c>
      <c r="O4" s="139"/>
      <c r="P4" s="196" t="s">
        <v>311</v>
      </c>
      <c r="Q4" s="196"/>
      <c r="R4" s="196"/>
      <c r="S4" s="136"/>
    </row>
    <row r="5" spans="1:19" ht="26.25" customHeight="1" x14ac:dyDescent="0.2">
      <c r="A5" s="194"/>
      <c r="B5" s="195"/>
      <c r="C5" s="196" t="s">
        <v>8</v>
      </c>
      <c r="D5" s="196"/>
      <c r="E5" s="196"/>
      <c r="F5" s="196" t="s">
        <v>5</v>
      </c>
      <c r="G5" s="196"/>
      <c r="H5" s="196"/>
      <c r="I5" s="196" t="s">
        <v>179</v>
      </c>
      <c r="J5" s="196"/>
      <c r="K5" s="196"/>
      <c r="L5" s="194"/>
      <c r="M5" s="194"/>
      <c r="N5" s="194"/>
      <c r="O5" s="6"/>
      <c r="P5" s="196"/>
      <c r="Q5" s="196"/>
      <c r="R5" s="196"/>
      <c r="S5" s="137"/>
    </row>
    <row r="6" spans="1:19" ht="48.75" customHeight="1" x14ac:dyDescent="0.2">
      <c r="A6" s="194"/>
      <c r="B6" s="195"/>
      <c r="C6" s="4" t="s">
        <v>14</v>
      </c>
      <c r="D6" s="4" t="s">
        <v>6</v>
      </c>
      <c r="E6" s="4" t="s">
        <v>7</v>
      </c>
      <c r="F6" s="4" t="s">
        <v>14</v>
      </c>
      <c r="G6" s="4" t="s">
        <v>6</v>
      </c>
      <c r="H6" s="4" t="s">
        <v>7</v>
      </c>
      <c r="I6" s="4" t="s">
        <v>14</v>
      </c>
      <c r="J6" s="4" t="s">
        <v>6</v>
      </c>
      <c r="K6" s="4" t="s">
        <v>7</v>
      </c>
      <c r="L6" s="5" t="s">
        <v>3</v>
      </c>
      <c r="M6" s="5" t="s">
        <v>4</v>
      </c>
      <c r="N6" s="194"/>
      <c r="O6" s="16" t="s">
        <v>25</v>
      </c>
      <c r="P6" s="2" t="s">
        <v>313</v>
      </c>
      <c r="Q6" s="16" t="s">
        <v>25</v>
      </c>
      <c r="R6" s="2" t="s">
        <v>314</v>
      </c>
      <c r="S6" s="138" t="s">
        <v>25</v>
      </c>
    </row>
    <row r="7" spans="1:19" s="1" customFormat="1" x14ac:dyDescent="0.2">
      <c r="A7" s="3">
        <v>1</v>
      </c>
      <c r="B7" s="3">
        <v>2</v>
      </c>
      <c r="C7" s="3">
        <v>3</v>
      </c>
      <c r="D7" s="3">
        <v>4</v>
      </c>
      <c r="E7" s="3">
        <v>5</v>
      </c>
      <c r="F7" s="3">
        <v>6</v>
      </c>
      <c r="G7" s="3">
        <v>7</v>
      </c>
      <c r="H7" s="3">
        <v>8</v>
      </c>
      <c r="I7" s="3">
        <v>9</v>
      </c>
      <c r="J7" s="3">
        <v>10</v>
      </c>
      <c r="K7" s="3">
        <v>11</v>
      </c>
      <c r="L7" s="3">
        <v>12</v>
      </c>
      <c r="M7" s="3">
        <v>13</v>
      </c>
      <c r="N7" s="3">
        <v>17</v>
      </c>
      <c r="O7" s="3"/>
      <c r="P7" s="3">
        <v>17</v>
      </c>
      <c r="Q7" s="3"/>
      <c r="R7" s="3">
        <v>17</v>
      </c>
      <c r="S7" s="3"/>
    </row>
    <row r="8" spans="1:19" ht="42" customHeight="1" x14ac:dyDescent="0.2">
      <c r="A8" s="60" t="s">
        <v>316</v>
      </c>
      <c r="B8" s="61" t="s">
        <v>315</v>
      </c>
      <c r="C8" s="60" t="s">
        <v>10</v>
      </c>
      <c r="D8" s="61" t="s">
        <v>10</v>
      </c>
      <c r="E8" s="61" t="s">
        <v>10</v>
      </c>
      <c r="F8" s="60" t="s">
        <v>10</v>
      </c>
      <c r="G8" s="61" t="s">
        <v>10</v>
      </c>
      <c r="H8" s="61" t="s">
        <v>10</v>
      </c>
      <c r="I8" s="60" t="s">
        <v>10</v>
      </c>
      <c r="J8" s="61" t="s">
        <v>10</v>
      </c>
      <c r="K8" s="61" t="s">
        <v>10</v>
      </c>
      <c r="L8" s="61" t="s">
        <v>10</v>
      </c>
      <c r="M8" s="61" t="s">
        <v>10</v>
      </c>
      <c r="N8" s="62">
        <f>O8</f>
        <v>0</v>
      </c>
      <c r="O8" s="62">
        <f>O9</f>
        <v>0</v>
      </c>
      <c r="P8" s="62">
        <f>Q8</f>
        <v>0</v>
      </c>
      <c r="Q8" s="12">
        <f>Q9</f>
        <v>0</v>
      </c>
      <c r="R8" s="62">
        <f>S8</f>
        <v>0</v>
      </c>
      <c r="S8" s="12">
        <f>S9</f>
        <v>0</v>
      </c>
    </row>
    <row r="9" spans="1:19" ht="52.5" x14ac:dyDescent="0.2">
      <c r="A9" s="60" t="s">
        <v>317</v>
      </c>
      <c r="B9" s="61">
        <v>2501</v>
      </c>
      <c r="C9" s="63" t="s">
        <v>10</v>
      </c>
      <c r="D9" s="64" t="s">
        <v>10</v>
      </c>
      <c r="E9" s="64" t="s">
        <v>10</v>
      </c>
      <c r="F9" s="63" t="s">
        <v>10</v>
      </c>
      <c r="G9" s="64" t="s">
        <v>10</v>
      </c>
      <c r="H9" s="64" t="s">
        <v>10</v>
      </c>
      <c r="I9" s="63" t="s">
        <v>10</v>
      </c>
      <c r="J9" s="64" t="s">
        <v>10</v>
      </c>
      <c r="K9" s="64" t="s">
        <v>10</v>
      </c>
      <c r="L9" s="64" t="s">
        <v>10</v>
      </c>
      <c r="M9" s="64" t="s">
        <v>10</v>
      </c>
      <c r="N9" s="62">
        <f>O9</f>
        <v>0</v>
      </c>
      <c r="O9" s="62">
        <f>SUM(O10:O10)</f>
        <v>0</v>
      </c>
      <c r="P9" s="62">
        <f>Q9</f>
        <v>0</v>
      </c>
      <c r="Q9" s="12">
        <f>SUM(Q10:Q10)</f>
        <v>0</v>
      </c>
      <c r="R9" s="62">
        <f>S9</f>
        <v>0</v>
      </c>
      <c r="S9" s="12">
        <f>SUM(S10:S10)</f>
        <v>0</v>
      </c>
    </row>
    <row r="10" spans="1:19" ht="204" x14ac:dyDescent="0.2">
      <c r="A10" s="86" t="s">
        <v>318</v>
      </c>
      <c r="B10" s="104">
        <v>2502</v>
      </c>
      <c r="C10" s="21" t="s">
        <v>56</v>
      </c>
      <c r="D10" s="21" t="s">
        <v>57</v>
      </c>
      <c r="E10" s="21" t="s">
        <v>154</v>
      </c>
      <c r="F10" s="21" t="s">
        <v>181</v>
      </c>
      <c r="G10" s="21" t="s">
        <v>63</v>
      </c>
      <c r="H10" s="21" t="s">
        <v>182</v>
      </c>
      <c r="I10" s="21" t="s">
        <v>191</v>
      </c>
      <c r="J10" s="21" t="s">
        <v>188</v>
      </c>
      <c r="K10" s="21" t="s">
        <v>192</v>
      </c>
      <c r="L10" s="17" t="s">
        <v>20</v>
      </c>
      <c r="M10" s="23" t="s">
        <v>157</v>
      </c>
      <c r="N10" s="11">
        <f>SUM(O10:O10)</f>
        <v>0</v>
      </c>
      <c r="O10" s="11"/>
      <c r="P10" s="11">
        <f>SUM(Q10:Q10)</f>
        <v>0</v>
      </c>
      <c r="Q10" s="11"/>
      <c r="R10" s="11">
        <f>SUM(S10:S10)</f>
        <v>0</v>
      </c>
      <c r="S10" s="11"/>
    </row>
    <row r="11" spans="1:19" ht="73.5" x14ac:dyDescent="0.2">
      <c r="A11" s="60" t="s">
        <v>349</v>
      </c>
      <c r="B11" s="64" t="s">
        <v>350</v>
      </c>
      <c r="C11" s="66" t="s">
        <v>10</v>
      </c>
      <c r="D11" s="67" t="s">
        <v>10</v>
      </c>
      <c r="E11" s="67" t="s">
        <v>10</v>
      </c>
      <c r="F11" s="66" t="s">
        <v>10</v>
      </c>
      <c r="G11" s="67" t="s">
        <v>10</v>
      </c>
      <c r="H11" s="67" t="s">
        <v>10</v>
      </c>
      <c r="I11" s="66" t="s">
        <v>10</v>
      </c>
      <c r="J11" s="67" t="s">
        <v>10</v>
      </c>
      <c r="K11" s="67" t="s">
        <v>10</v>
      </c>
      <c r="L11" s="64" t="s">
        <v>10</v>
      </c>
      <c r="M11" s="64" t="s">
        <v>10</v>
      </c>
      <c r="N11" s="82"/>
      <c r="O11" s="82"/>
      <c r="P11" s="82"/>
      <c r="Q11" s="11"/>
      <c r="R11" s="82"/>
      <c r="S11" s="11"/>
    </row>
    <row r="12" spans="1:19" ht="73.5" x14ac:dyDescent="0.2">
      <c r="A12" s="60" t="s">
        <v>358</v>
      </c>
      <c r="B12" s="61" t="s">
        <v>357</v>
      </c>
      <c r="C12" s="66" t="s">
        <v>10</v>
      </c>
      <c r="D12" s="67" t="s">
        <v>10</v>
      </c>
      <c r="E12" s="67" t="s">
        <v>10</v>
      </c>
      <c r="F12" s="66" t="s">
        <v>10</v>
      </c>
      <c r="G12" s="67" t="s">
        <v>10</v>
      </c>
      <c r="H12" s="67" t="s">
        <v>10</v>
      </c>
      <c r="I12" s="66" t="s">
        <v>10</v>
      </c>
      <c r="J12" s="67" t="s">
        <v>10</v>
      </c>
      <c r="K12" s="67" t="s">
        <v>10</v>
      </c>
      <c r="L12" s="64" t="s">
        <v>10</v>
      </c>
      <c r="M12" s="64" t="s">
        <v>10</v>
      </c>
      <c r="N12" s="82"/>
      <c r="O12" s="82"/>
      <c r="P12" s="82"/>
      <c r="Q12" s="11"/>
      <c r="R12" s="82"/>
      <c r="S12" s="11"/>
    </row>
    <row r="13" spans="1:19" ht="22.5" x14ac:dyDescent="0.2">
      <c r="A13" s="65" t="s">
        <v>359</v>
      </c>
      <c r="B13" s="69">
        <v>2701</v>
      </c>
      <c r="C13" s="66" t="s">
        <v>10</v>
      </c>
      <c r="D13" s="67" t="s">
        <v>10</v>
      </c>
      <c r="E13" s="67" t="s">
        <v>10</v>
      </c>
      <c r="F13" s="66" t="s">
        <v>10</v>
      </c>
      <c r="G13" s="67" t="s">
        <v>10</v>
      </c>
      <c r="H13" s="67" t="s">
        <v>10</v>
      </c>
      <c r="I13" s="66" t="s">
        <v>10</v>
      </c>
      <c r="J13" s="67" t="s">
        <v>10</v>
      </c>
      <c r="K13" s="67" t="s">
        <v>10</v>
      </c>
      <c r="L13" s="64" t="s">
        <v>10</v>
      </c>
      <c r="M13" s="64" t="s">
        <v>10</v>
      </c>
      <c r="N13" s="82"/>
      <c r="O13" s="82"/>
      <c r="P13" s="82"/>
      <c r="Q13" s="11"/>
      <c r="R13" s="82"/>
      <c r="S13" s="11"/>
    </row>
    <row r="14" spans="1:19" ht="45" x14ac:dyDescent="0.2">
      <c r="A14" s="65" t="s">
        <v>360</v>
      </c>
      <c r="B14" s="69">
        <v>2800</v>
      </c>
      <c r="C14" s="66" t="s">
        <v>10</v>
      </c>
      <c r="D14" s="67" t="s">
        <v>10</v>
      </c>
      <c r="E14" s="67" t="s">
        <v>10</v>
      </c>
      <c r="F14" s="66" t="s">
        <v>10</v>
      </c>
      <c r="G14" s="67" t="s">
        <v>10</v>
      </c>
      <c r="H14" s="67" t="s">
        <v>10</v>
      </c>
      <c r="I14" s="66" t="s">
        <v>10</v>
      </c>
      <c r="J14" s="67" t="s">
        <v>10</v>
      </c>
      <c r="K14" s="67" t="s">
        <v>10</v>
      </c>
      <c r="L14" s="64" t="s">
        <v>10</v>
      </c>
      <c r="M14" s="64" t="s">
        <v>10</v>
      </c>
      <c r="N14" s="82"/>
      <c r="O14" s="82"/>
      <c r="P14" s="82"/>
      <c r="Q14" s="11"/>
      <c r="R14" s="82"/>
      <c r="S14" s="11"/>
    </row>
    <row r="15" spans="1:19" ht="67.5" x14ac:dyDescent="0.2">
      <c r="A15" s="65" t="s">
        <v>361</v>
      </c>
      <c r="B15" s="69">
        <v>2900</v>
      </c>
      <c r="C15" s="66" t="s">
        <v>10</v>
      </c>
      <c r="D15" s="67" t="s">
        <v>10</v>
      </c>
      <c r="E15" s="67" t="s">
        <v>10</v>
      </c>
      <c r="F15" s="66" t="s">
        <v>10</v>
      </c>
      <c r="G15" s="67" t="s">
        <v>10</v>
      </c>
      <c r="H15" s="67" t="s">
        <v>10</v>
      </c>
      <c r="I15" s="66" t="s">
        <v>10</v>
      </c>
      <c r="J15" s="67" t="s">
        <v>10</v>
      </c>
      <c r="K15" s="67" t="s">
        <v>10</v>
      </c>
      <c r="L15" s="64" t="s">
        <v>10</v>
      </c>
      <c r="M15" s="64" t="s">
        <v>10</v>
      </c>
      <c r="N15" s="82"/>
      <c r="O15" s="82"/>
      <c r="P15" s="82"/>
      <c r="Q15" s="11"/>
      <c r="R15" s="82"/>
      <c r="S15" s="11"/>
    </row>
    <row r="16" spans="1:19" ht="67.5" x14ac:dyDescent="0.2">
      <c r="A16" s="65" t="s">
        <v>363</v>
      </c>
      <c r="B16" s="69">
        <v>3000</v>
      </c>
      <c r="C16" s="66" t="s">
        <v>10</v>
      </c>
      <c r="D16" s="67" t="s">
        <v>10</v>
      </c>
      <c r="E16" s="67" t="s">
        <v>10</v>
      </c>
      <c r="F16" s="66" t="s">
        <v>10</v>
      </c>
      <c r="G16" s="67" t="s">
        <v>10</v>
      </c>
      <c r="H16" s="67" t="s">
        <v>10</v>
      </c>
      <c r="I16" s="66" t="s">
        <v>10</v>
      </c>
      <c r="J16" s="67" t="s">
        <v>10</v>
      </c>
      <c r="K16" s="67" t="s">
        <v>10</v>
      </c>
      <c r="L16" s="64" t="s">
        <v>10</v>
      </c>
      <c r="M16" s="64" t="s">
        <v>10</v>
      </c>
      <c r="N16" s="82"/>
      <c r="O16" s="82"/>
      <c r="P16" s="82"/>
      <c r="Q16" s="11"/>
      <c r="R16" s="82"/>
      <c r="S16" s="11"/>
    </row>
    <row r="17" spans="1:19" ht="94.5" x14ac:dyDescent="0.2">
      <c r="A17" s="60" t="s">
        <v>364</v>
      </c>
      <c r="B17" s="122">
        <v>3100</v>
      </c>
      <c r="C17" s="66" t="s">
        <v>10</v>
      </c>
      <c r="D17" s="67" t="s">
        <v>10</v>
      </c>
      <c r="E17" s="67" t="s">
        <v>10</v>
      </c>
      <c r="F17" s="66" t="s">
        <v>10</v>
      </c>
      <c r="G17" s="67" t="s">
        <v>10</v>
      </c>
      <c r="H17" s="67" t="s">
        <v>10</v>
      </c>
      <c r="I17" s="66" t="s">
        <v>10</v>
      </c>
      <c r="J17" s="67" t="s">
        <v>10</v>
      </c>
      <c r="K17" s="67" t="s">
        <v>10</v>
      </c>
      <c r="L17" s="64" t="s">
        <v>10</v>
      </c>
      <c r="M17" s="64" t="s">
        <v>10</v>
      </c>
      <c r="N17" s="82"/>
      <c r="O17" s="82"/>
      <c r="P17" s="82"/>
      <c r="Q17" s="11"/>
      <c r="R17" s="82"/>
      <c r="S17" s="11"/>
    </row>
    <row r="18" spans="1:19" ht="22.5" x14ac:dyDescent="0.2">
      <c r="A18" s="65" t="s">
        <v>365</v>
      </c>
      <c r="B18" s="69">
        <v>3101</v>
      </c>
      <c r="C18" s="66" t="s">
        <v>10</v>
      </c>
      <c r="D18" s="67" t="s">
        <v>10</v>
      </c>
      <c r="E18" s="67" t="s">
        <v>10</v>
      </c>
      <c r="F18" s="66" t="s">
        <v>10</v>
      </c>
      <c r="G18" s="67" t="s">
        <v>10</v>
      </c>
      <c r="H18" s="67" t="s">
        <v>10</v>
      </c>
      <c r="I18" s="66" t="s">
        <v>10</v>
      </c>
      <c r="J18" s="67" t="s">
        <v>10</v>
      </c>
      <c r="K18" s="67" t="s">
        <v>10</v>
      </c>
      <c r="L18" s="64" t="s">
        <v>10</v>
      </c>
      <c r="M18" s="64" t="s">
        <v>10</v>
      </c>
      <c r="N18" s="82"/>
      <c r="O18" s="82"/>
      <c r="P18" s="82"/>
      <c r="Q18" s="11"/>
      <c r="R18" s="82"/>
      <c r="S18" s="11"/>
    </row>
    <row r="19" spans="1:19" ht="22.5" x14ac:dyDescent="0.2">
      <c r="A19" s="65" t="s">
        <v>370</v>
      </c>
      <c r="B19" s="69">
        <v>3200</v>
      </c>
      <c r="C19" s="66"/>
      <c r="D19" s="66"/>
      <c r="E19" s="66"/>
      <c r="F19" s="66"/>
      <c r="G19" s="67"/>
      <c r="H19" s="71"/>
      <c r="I19" s="72"/>
      <c r="J19" s="72"/>
      <c r="K19" s="73"/>
      <c r="L19" s="64"/>
      <c r="M19" s="64"/>
      <c r="N19" s="82"/>
      <c r="O19" s="82"/>
      <c r="P19" s="82"/>
      <c r="Q19" s="11"/>
      <c r="R19" s="82"/>
      <c r="S19" s="11"/>
    </row>
    <row r="20" spans="1:19" ht="45" x14ac:dyDescent="0.2">
      <c r="A20" s="65" t="s">
        <v>431</v>
      </c>
      <c r="B20" s="69">
        <v>3300</v>
      </c>
      <c r="C20" s="66" t="s">
        <v>10</v>
      </c>
      <c r="D20" s="67" t="s">
        <v>10</v>
      </c>
      <c r="E20" s="67" t="s">
        <v>10</v>
      </c>
      <c r="F20" s="66" t="s">
        <v>10</v>
      </c>
      <c r="G20" s="67" t="s">
        <v>10</v>
      </c>
      <c r="H20" s="67" t="s">
        <v>10</v>
      </c>
      <c r="I20" s="66" t="s">
        <v>10</v>
      </c>
      <c r="J20" s="67" t="s">
        <v>10</v>
      </c>
      <c r="K20" s="67" t="s">
        <v>10</v>
      </c>
      <c r="L20" s="64" t="s">
        <v>10</v>
      </c>
      <c r="M20" s="64" t="s">
        <v>10</v>
      </c>
      <c r="N20" s="82"/>
      <c r="O20" s="82"/>
      <c r="P20" s="82"/>
      <c r="Q20" s="11"/>
      <c r="R20" s="82"/>
      <c r="S20" s="11"/>
    </row>
    <row r="21" spans="1:19" ht="52.5" x14ac:dyDescent="0.2">
      <c r="A21" s="60" t="s">
        <v>432</v>
      </c>
      <c r="B21" s="69">
        <v>3400</v>
      </c>
      <c r="C21" s="66" t="s">
        <v>10</v>
      </c>
      <c r="D21" s="67" t="s">
        <v>10</v>
      </c>
      <c r="E21" s="67" t="s">
        <v>10</v>
      </c>
      <c r="F21" s="66" t="s">
        <v>10</v>
      </c>
      <c r="G21" s="67" t="s">
        <v>10</v>
      </c>
      <c r="H21" s="67" t="s">
        <v>10</v>
      </c>
      <c r="I21" s="66" t="s">
        <v>10</v>
      </c>
      <c r="J21" s="67" t="s">
        <v>10</v>
      </c>
      <c r="K21" s="67" t="s">
        <v>10</v>
      </c>
      <c r="L21" s="64" t="s">
        <v>10</v>
      </c>
      <c r="M21" s="64" t="s">
        <v>10</v>
      </c>
      <c r="N21" s="82"/>
      <c r="O21" s="82"/>
      <c r="P21" s="82"/>
      <c r="Q21" s="11"/>
      <c r="R21" s="82"/>
      <c r="S21" s="11"/>
    </row>
    <row r="22" spans="1:19" ht="63" x14ac:dyDescent="0.2">
      <c r="A22" s="60" t="s">
        <v>435</v>
      </c>
      <c r="B22" s="122">
        <v>3500</v>
      </c>
      <c r="C22" s="66" t="s">
        <v>10</v>
      </c>
      <c r="D22" s="67" t="s">
        <v>10</v>
      </c>
      <c r="E22" s="67" t="s">
        <v>10</v>
      </c>
      <c r="F22" s="66" t="s">
        <v>10</v>
      </c>
      <c r="G22" s="67" t="s">
        <v>10</v>
      </c>
      <c r="H22" s="67" t="s">
        <v>10</v>
      </c>
      <c r="I22" s="66" t="s">
        <v>10</v>
      </c>
      <c r="J22" s="67" t="s">
        <v>10</v>
      </c>
      <c r="K22" s="67" t="s">
        <v>10</v>
      </c>
      <c r="L22" s="64" t="s">
        <v>10</v>
      </c>
      <c r="M22" s="64" t="s">
        <v>10</v>
      </c>
      <c r="N22" s="82"/>
      <c r="O22" s="82"/>
      <c r="P22" s="82"/>
      <c r="Q22" s="11"/>
      <c r="R22" s="82"/>
      <c r="S22" s="11"/>
    </row>
    <row r="23" spans="1:19" ht="22.5" x14ac:dyDescent="0.2">
      <c r="A23" s="63" t="s">
        <v>436</v>
      </c>
      <c r="B23" s="69">
        <v>3501</v>
      </c>
      <c r="C23" s="66" t="s">
        <v>10</v>
      </c>
      <c r="D23" s="67" t="s">
        <v>10</v>
      </c>
      <c r="E23" s="67" t="s">
        <v>10</v>
      </c>
      <c r="F23" s="66" t="s">
        <v>10</v>
      </c>
      <c r="G23" s="67" t="s">
        <v>10</v>
      </c>
      <c r="H23" s="67" t="s">
        <v>10</v>
      </c>
      <c r="I23" s="66" t="s">
        <v>10</v>
      </c>
      <c r="J23" s="67" t="s">
        <v>10</v>
      </c>
      <c r="K23" s="67" t="s">
        <v>10</v>
      </c>
      <c r="L23" s="64" t="s">
        <v>10</v>
      </c>
      <c r="M23" s="64" t="s">
        <v>10</v>
      </c>
      <c r="N23" s="82"/>
      <c r="O23" s="82"/>
      <c r="P23" s="82"/>
      <c r="Q23" s="11"/>
      <c r="R23" s="82"/>
      <c r="S23" s="11"/>
    </row>
    <row r="24" spans="1:19" ht="22.5" x14ac:dyDescent="0.2">
      <c r="A24" s="63" t="s">
        <v>437</v>
      </c>
      <c r="B24" s="69">
        <v>3502</v>
      </c>
      <c r="C24" s="66" t="s">
        <v>10</v>
      </c>
      <c r="D24" s="67" t="s">
        <v>10</v>
      </c>
      <c r="E24" s="67" t="s">
        <v>10</v>
      </c>
      <c r="F24" s="66" t="s">
        <v>10</v>
      </c>
      <c r="G24" s="67" t="s">
        <v>10</v>
      </c>
      <c r="H24" s="67" t="s">
        <v>10</v>
      </c>
      <c r="I24" s="66" t="s">
        <v>10</v>
      </c>
      <c r="J24" s="67" t="s">
        <v>10</v>
      </c>
      <c r="K24" s="67" t="s">
        <v>10</v>
      </c>
      <c r="L24" s="64" t="s">
        <v>10</v>
      </c>
      <c r="M24" s="64" t="s">
        <v>10</v>
      </c>
      <c r="N24" s="82"/>
      <c r="O24" s="82"/>
      <c r="P24" s="82"/>
      <c r="Q24" s="11"/>
      <c r="R24" s="82"/>
      <c r="S24" s="11"/>
    </row>
    <row r="25" spans="1:19" x14ac:dyDescent="0.2">
      <c r="A25" s="9" t="s">
        <v>0</v>
      </c>
      <c r="B25" s="14">
        <v>8000</v>
      </c>
      <c r="C25" s="19" t="s">
        <v>10</v>
      </c>
      <c r="D25" s="20" t="s">
        <v>10</v>
      </c>
      <c r="E25" s="20" t="s">
        <v>10</v>
      </c>
      <c r="F25" s="19" t="s">
        <v>10</v>
      </c>
      <c r="G25" s="20" t="s">
        <v>10</v>
      </c>
      <c r="H25" s="20" t="s">
        <v>10</v>
      </c>
      <c r="I25" s="19" t="s">
        <v>10</v>
      </c>
      <c r="J25" s="20" t="s">
        <v>10</v>
      </c>
      <c r="K25" s="20" t="s">
        <v>10</v>
      </c>
      <c r="L25" s="13" t="s">
        <v>10</v>
      </c>
      <c r="M25" s="13" t="s">
        <v>10</v>
      </c>
      <c r="N25" s="12">
        <f>N8</f>
        <v>0</v>
      </c>
      <c r="O25" s="12"/>
      <c r="P25" s="12">
        <f>P8</f>
        <v>0</v>
      </c>
      <c r="Q25" s="12"/>
      <c r="R25" s="12">
        <f>R8</f>
        <v>0</v>
      </c>
      <c r="S25" s="12"/>
    </row>
    <row r="27" spans="1:19" x14ac:dyDescent="0.2">
      <c r="A27" s="228" t="s">
        <v>249</v>
      </c>
      <c r="B27" s="228"/>
      <c r="C27" s="228"/>
      <c r="D27" s="228"/>
      <c r="E27" s="228"/>
    </row>
    <row r="29" spans="1:19" x14ac:dyDescent="0.2">
      <c r="A29" s="59" t="s">
        <v>236</v>
      </c>
    </row>
  </sheetData>
  <mergeCells count="15">
    <mergeCell ref="A1:H1"/>
    <mergeCell ref="A2:H2"/>
    <mergeCell ref="N1:P1"/>
    <mergeCell ref="N2:P2"/>
    <mergeCell ref="N4:N6"/>
    <mergeCell ref="P4:R5"/>
    <mergeCell ref="L4:M5"/>
    <mergeCell ref="A27:E27"/>
    <mergeCell ref="A3:H3"/>
    <mergeCell ref="A4:A6"/>
    <mergeCell ref="B4:B6"/>
    <mergeCell ref="C4:I4"/>
    <mergeCell ref="C5:E5"/>
    <mergeCell ref="F5:H5"/>
    <mergeCell ref="I5:K5"/>
  </mergeCells>
  <pageMargins left="0.31496062992125984" right="0.31496062992125984" top="0.19685039370078741" bottom="0.19685039370078741" header="0.19685039370078741" footer="0"/>
  <pageSetup paperSize="9" scale="5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1"/>
  <sheetViews>
    <sheetView view="pageBreakPreview" zoomScale="80" zoomScaleNormal="90" zoomScaleSheetLayoutView="80" workbookViewId="0">
      <pane xSplit="8" ySplit="7" topLeftCell="L8" activePane="bottomRight" state="frozen"/>
      <selection pane="topRight" activeCell="I1" sqref="I1"/>
      <selection pane="bottomLeft" activeCell="A7" sqref="A7"/>
      <selection pane="bottomRight" activeCell="X30" sqref="X30"/>
    </sheetView>
  </sheetViews>
  <sheetFormatPr defaultColWidth="9.140625" defaultRowHeight="12.75" x14ac:dyDescent="0.2"/>
  <cols>
    <col min="1" max="1" width="45.140625" customWidth="1"/>
    <col min="2" max="2" width="6.42578125" customWidth="1"/>
    <col min="3" max="3" width="22.140625" hidden="1" customWidth="1"/>
    <col min="4" max="4" width="0" hidden="1" customWidth="1"/>
    <col min="5" max="5" width="11" hidden="1" customWidth="1"/>
    <col min="6" max="6" width="15.42578125" hidden="1" customWidth="1"/>
    <col min="7" max="8" width="0" hidden="1" customWidth="1"/>
    <col min="9" max="9" width="29.42578125" hidden="1" customWidth="1"/>
    <col min="10" max="10" width="0" hidden="1" customWidth="1"/>
    <col min="11" max="11" width="10.85546875" hidden="1" customWidth="1"/>
    <col min="12" max="12" width="7.140625" customWidth="1"/>
    <col min="13" max="13" width="8.7109375" bestFit="1" customWidth="1"/>
    <col min="14" max="14" width="9.28515625" style="142" customWidth="1"/>
    <col min="15" max="16" width="9.28515625" style="142" hidden="1" customWidth="1"/>
    <col min="17" max="17" width="9.140625" style="142" customWidth="1"/>
    <col min="18" max="19" width="7.7109375" style="142" hidden="1" customWidth="1"/>
    <col min="20" max="20" width="9.85546875" style="142" customWidth="1"/>
    <col min="21" max="23" width="8.42578125" style="142" hidden="1" customWidth="1"/>
    <col min="24" max="24" width="10" style="142" customWidth="1"/>
    <col min="25" max="26" width="10" style="142" hidden="1" customWidth="1"/>
    <col min="27" max="27" width="8.42578125" style="142" hidden="1" customWidth="1"/>
    <col min="28" max="28" width="10.42578125" style="142" customWidth="1"/>
    <col min="29" max="30" width="10.42578125" hidden="1" customWidth="1"/>
    <col min="31" max="31" width="8.42578125" style="142" hidden="1" customWidth="1"/>
    <col min="32" max="32" width="10.42578125" customWidth="1"/>
  </cols>
  <sheetData>
    <row r="1" spans="1:31" x14ac:dyDescent="0.2">
      <c r="A1" s="193" t="s">
        <v>232</v>
      </c>
      <c r="B1" s="193"/>
      <c r="C1" s="193"/>
      <c r="D1" s="193"/>
      <c r="E1" s="193"/>
      <c r="F1" s="193"/>
      <c r="G1" s="193"/>
      <c r="H1" s="193"/>
      <c r="I1" s="48"/>
      <c r="J1" s="48"/>
      <c r="K1" s="48"/>
      <c r="L1" s="48"/>
      <c r="M1" s="48"/>
      <c r="N1" s="205"/>
      <c r="O1" s="205"/>
      <c r="P1" s="205"/>
      <c r="Q1" s="205"/>
      <c r="R1" s="205"/>
      <c r="S1" s="205"/>
      <c r="T1" s="205"/>
      <c r="U1" s="205"/>
      <c r="V1" s="205"/>
      <c r="W1" s="191"/>
      <c r="X1" s="169"/>
      <c r="Y1" s="169"/>
      <c r="Z1" s="169"/>
      <c r="AA1" s="191"/>
      <c r="AB1" s="169"/>
      <c r="AC1" s="15"/>
      <c r="AD1" s="15"/>
      <c r="AE1" s="191"/>
    </row>
    <row r="2" spans="1:31" x14ac:dyDescent="0.2">
      <c r="A2" s="217" t="s">
        <v>245</v>
      </c>
      <c r="B2" s="217"/>
      <c r="C2" s="217"/>
      <c r="D2" s="217"/>
      <c r="E2" s="217"/>
      <c r="F2" s="217"/>
      <c r="G2" s="217"/>
      <c r="H2" s="217"/>
      <c r="I2" s="57"/>
      <c r="J2" s="57"/>
      <c r="K2" s="57"/>
      <c r="L2" s="57"/>
      <c r="M2" s="57"/>
      <c r="N2" s="205"/>
      <c r="O2" s="205"/>
      <c r="P2" s="205"/>
      <c r="Q2" s="205"/>
      <c r="R2" s="205"/>
      <c r="S2" s="205"/>
      <c r="T2" s="205"/>
      <c r="U2" s="205"/>
      <c r="V2" s="205"/>
      <c r="W2" s="191"/>
      <c r="X2" s="169"/>
      <c r="Y2" s="169"/>
      <c r="Z2" s="169"/>
      <c r="AA2" s="191"/>
      <c r="AB2" s="169"/>
      <c r="AC2" s="15"/>
      <c r="AD2" s="15"/>
      <c r="AE2" s="191"/>
    </row>
    <row r="3" spans="1:31" x14ac:dyDescent="0.2">
      <c r="A3" s="218" t="s">
        <v>233</v>
      </c>
      <c r="B3" s="218"/>
      <c r="C3" s="218"/>
      <c r="D3" s="218"/>
      <c r="E3" s="218"/>
      <c r="F3" s="218"/>
      <c r="G3" s="218"/>
      <c r="H3" s="218"/>
      <c r="I3" s="58"/>
      <c r="J3" s="58"/>
      <c r="K3" s="58"/>
      <c r="L3" s="58"/>
      <c r="M3" s="58"/>
    </row>
    <row r="4" spans="1:31" ht="22.5" customHeight="1" x14ac:dyDescent="0.2">
      <c r="A4" s="194" t="s">
        <v>13</v>
      </c>
      <c r="B4" s="195" t="s">
        <v>9</v>
      </c>
      <c r="C4" s="197" t="s">
        <v>12</v>
      </c>
      <c r="D4" s="198"/>
      <c r="E4" s="198"/>
      <c r="F4" s="198"/>
      <c r="G4" s="198"/>
      <c r="H4" s="198"/>
      <c r="I4" s="199"/>
      <c r="J4" s="2"/>
      <c r="K4" s="2"/>
      <c r="L4" s="194" t="s">
        <v>2</v>
      </c>
      <c r="M4" s="194"/>
      <c r="N4" s="209" t="s">
        <v>674</v>
      </c>
      <c r="O4" s="209"/>
      <c r="P4" s="209"/>
      <c r="Q4" s="209"/>
      <c r="R4" s="182"/>
      <c r="S4" s="182"/>
      <c r="T4" s="209" t="s">
        <v>795</v>
      </c>
      <c r="U4" s="182"/>
      <c r="V4" s="182"/>
      <c r="W4" s="182"/>
      <c r="X4" s="224" t="s">
        <v>311</v>
      </c>
      <c r="Y4" s="224"/>
      <c r="Z4" s="224"/>
      <c r="AA4" s="224"/>
      <c r="AB4" s="225"/>
      <c r="AC4" s="18"/>
      <c r="AD4" s="18"/>
      <c r="AE4" s="18"/>
    </row>
    <row r="5" spans="1:31" ht="24" customHeight="1" x14ac:dyDescent="0.2">
      <c r="A5" s="194"/>
      <c r="B5" s="195"/>
      <c r="C5" s="196" t="s">
        <v>8</v>
      </c>
      <c r="D5" s="196"/>
      <c r="E5" s="196"/>
      <c r="F5" s="196" t="s">
        <v>5</v>
      </c>
      <c r="G5" s="196"/>
      <c r="H5" s="196"/>
      <c r="I5" s="196" t="s">
        <v>179</v>
      </c>
      <c r="J5" s="196"/>
      <c r="K5" s="196"/>
      <c r="L5" s="194"/>
      <c r="M5" s="194"/>
      <c r="N5" s="209" t="s">
        <v>309</v>
      </c>
      <c r="O5" s="164"/>
      <c r="P5" s="164"/>
      <c r="Q5" s="209" t="s">
        <v>310</v>
      </c>
      <c r="R5" s="183"/>
      <c r="S5" s="164"/>
      <c r="T5" s="209"/>
      <c r="U5" s="183"/>
      <c r="V5" s="164"/>
      <c r="W5" s="164"/>
      <c r="X5" s="226"/>
      <c r="Y5" s="226"/>
      <c r="Z5" s="226"/>
      <c r="AA5" s="226"/>
      <c r="AB5" s="227"/>
      <c r="AC5" s="6"/>
      <c r="AD5" s="6"/>
      <c r="AE5" s="192"/>
    </row>
    <row r="6" spans="1:31" ht="48.75" customHeight="1" x14ac:dyDescent="0.2">
      <c r="A6" s="194"/>
      <c r="B6" s="195"/>
      <c r="C6" s="4" t="s">
        <v>14</v>
      </c>
      <c r="D6" s="4" t="s">
        <v>6</v>
      </c>
      <c r="E6" s="4" t="s">
        <v>7</v>
      </c>
      <c r="F6" s="4" t="s">
        <v>14</v>
      </c>
      <c r="G6" s="4" t="s">
        <v>6</v>
      </c>
      <c r="H6" s="4" t="s">
        <v>7</v>
      </c>
      <c r="I6" s="4" t="s">
        <v>14</v>
      </c>
      <c r="J6" s="4" t="s">
        <v>6</v>
      </c>
      <c r="K6" s="4" t="s">
        <v>7</v>
      </c>
      <c r="L6" s="5" t="s">
        <v>3</v>
      </c>
      <c r="M6" s="5" t="s">
        <v>4</v>
      </c>
      <c r="N6" s="209"/>
      <c r="O6" s="166" t="s">
        <v>25</v>
      </c>
      <c r="P6" s="166" t="s">
        <v>55</v>
      </c>
      <c r="Q6" s="209"/>
      <c r="R6" s="184" t="s">
        <v>25</v>
      </c>
      <c r="S6" s="166" t="s">
        <v>55</v>
      </c>
      <c r="T6" s="209"/>
      <c r="U6" s="184" t="s">
        <v>25</v>
      </c>
      <c r="V6" s="166" t="s">
        <v>55</v>
      </c>
      <c r="W6" s="166" t="s">
        <v>28</v>
      </c>
      <c r="X6" s="170" t="s">
        <v>791</v>
      </c>
      <c r="Y6" s="166" t="s">
        <v>25</v>
      </c>
      <c r="Z6" s="166" t="s">
        <v>55</v>
      </c>
      <c r="AA6" s="166" t="s">
        <v>28</v>
      </c>
      <c r="AB6" s="170" t="s">
        <v>790</v>
      </c>
      <c r="AC6" s="16" t="s">
        <v>25</v>
      </c>
      <c r="AD6" s="16" t="s">
        <v>55</v>
      </c>
      <c r="AE6" s="166" t="s">
        <v>28</v>
      </c>
    </row>
    <row r="7" spans="1:31" s="1" customFormat="1" x14ac:dyDescent="0.2">
      <c r="A7" s="3">
        <v>1</v>
      </c>
      <c r="B7" s="3">
        <v>2</v>
      </c>
      <c r="C7" s="3">
        <v>3</v>
      </c>
      <c r="D7" s="3">
        <v>4</v>
      </c>
      <c r="E7" s="3">
        <v>5</v>
      </c>
      <c r="F7" s="3">
        <v>6</v>
      </c>
      <c r="G7" s="3">
        <v>7</v>
      </c>
      <c r="H7" s="3">
        <v>8</v>
      </c>
      <c r="I7" s="3">
        <v>9</v>
      </c>
      <c r="J7" s="3">
        <v>10</v>
      </c>
      <c r="K7" s="3">
        <v>11</v>
      </c>
      <c r="L7" s="3">
        <v>12</v>
      </c>
      <c r="M7" s="3">
        <v>13</v>
      </c>
      <c r="N7" s="167">
        <v>17</v>
      </c>
      <c r="O7" s="167"/>
      <c r="P7" s="167"/>
      <c r="Q7" s="167">
        <v>17</v>
      </c>
      <c r="R7" s="167"/>
      <c r="S7" s="167"/>
      <c r="T7" s="167">
        <v>17</v>
      </c>
      <c r="U7" s="167"/>
      <c r="V7" s="167"/>
      <c r="W7" s="167"/>
      <c r="X7" s="167">
        <v>17</v>
      </c>
      <c r="Y7" s="167"/>
      <c r="Z7" s="167"/>
      <c r="AA7" s="167"/>
      <c r="AB7" s="167">
        <v>17</v>
      </c>
      <c r="AC7" s="3"/>
      <c r="AD7" s="3"/>
      <c r="AE7" s="167"/>
    </row>
    <row r="8" spans="1:31" ht="42" customHeight="1" x14ac:dyDescent="0.2">
      <c r="A8" s="60" t="s">
        <v>316</v>
      </c>
      <c r="B8" s="61" t="s">
        <v>315</v>
      </c>
      <c r="C8" s="60" t="s">
        <v>10</v>
      </c>
      <c r="D8" s="61" t="s">
        <v>10</v>
      </c>
      <c r="E8" s="61" t="s">
        <v>10</v>
      </c>
      <c r="F8" s="60" t="s">
        <v>10</v>
      </c>
      <c r="G8" s="61" t="s">
        <v>10</v>
      </c>
      <c r="H8" s="61" t="s">
        <v>10</v>
      </c>
      <c r="I8" s="60" t="s">
        <v>10</v>
      </c>
      <c r="J8" s="61" t="s">
        <v>10</v>
      </c>
      <c r="K8" s="61" t="s">
        <v>10</v>
      </c>
      <c r="L8" s="61" t="s">
        <v>10</v>
      </c>
      <c r="M8" s="61" t="s">
        <v>10</v>
      </c>
      <c r="N8" s="78">
        <f>SUM(O8:P8)</f>
        <v>7751.2</v>
      </c>
      <c r="O8" s="78">
        <f>O9+O14+O19+O24+O29+O33</f>
        <v>7583</v>
      </c>
      <c r="P8" s="78">
        <f>P9+P14+P19+P24+P29+P33</f>
        <v>168.2</v>
      </c>
      <c r="Q8" s="78">
        <f>SUM(R8:S8)</f>
        <v>7575.1</v>
      </c>
      <c r="R8" s="78">
        <f>R9+R14+R19+R24+R29+R33</f>
        <v>7575.1</v>
      </c>
      <c r="S8" s="78">
        <f>S9+S14+S19+S24+S29+S33</f>
        <v>0</v>
      </c>
      <c r="T8" s="78">
        <f>SUM(U8:W8)</f>
        <v>32073.800000000003</v>
      </c>
      <c r="U8" s="78">
        <f>U9+U14+U19+U24+U29+U33</f>
        <v>7979.6</v>
      </c>
      <c r="V8" s="78">
        <f>V9+V14+V19+V24+V29+V33</f>
        <v>484</v>
      </c>
      <c r="W8" s="78">
        <f>W9+W14+W19+W24+W29+W33</f>
        <v>23610.2</v>
      </c>
      <c r="X8" s="78">
        <f>SUM(Y8:AA8)</f>
        <v>31594.1</v>
      </c>
      <c r="Y8" s="78">
        <f>Y9+Y14+Y19+Y24+Y29+Y33</f>
        <v>7979.6</v>
      </c>
      <c r="Z8" s="78">
        <f>Z9+Z14+Z19+Z24+Z29+Z33</f>
        <v>484</v>
      </c>
      <c r="AA8" s="78">
        <f>AA9+AA14+AA19+AA24+AA29+AA33</f>
        <v>23130.5</v>
      </c>
      <c r="AB8" s="78">
        <f>SUM(AC8:AE8)</f>
        <v>31594.300000000003</v>
      </c>
      <c r="AC8" s="62">
        <f>AC9+AC14+AC19+AC24+AC29+AC33</f>
        <v>7979.6</v>
      </c>
      <c r="AD8" s="62">
        <f>AD9+AD14+AD19+AD24+AD29+AD33</f>
        <v>484</v>
      </c>
      <c r="AE8" s="78">
        <f>AE9+AE14+AE19+AE24+AE29+AE33</f>
        <v>23130.7</v>
      </c>
    </row>
    <row r="9" spans="1:31" ht="52.5" x14ac:dyDescent="0.2">
      <c r="A9" s="60" t="s">
        <v>317</v>
      </c>
      <c r="B9" s="61">
        <v>2501</v>
      </c>
      <c r="C9" s="63" t="s">
        <v>10</v>
      </c>
      <c r="D9" s="64" t="s">
        <v>10</v>
      </c>
      <c r="E9" s="64" t="s">
        <v>10</v>
      </c>
      <c r="F9" s="63" t="s">
        <v>10</v>
      </c>
      <c r="G9" s="64" t="s">
        <v>10</v>
      </c>
      <c r="H9" s="64" t="s">
        <v>10</v>
      </c>
      <c r="I9" s="63" t="s">
        <v>10</v>
      </c>
      <c r="J9" s="64" t="s">
        <v>10</v>
      </c>
      <c r="K9" s="64" t="s">
        <v>10</v>
      </c>
      <c r="L9" s="64" t="s">
        <v>10</v>
      </c>
      <c r="M9" s="64" t="s">
        <v>10</v>
      </c>
      <c r="N9" s="78">
        <f>SUM(O9:P9)</f>
        <v>168.2</v>
      </c>
      <c r="O9" s="78">
        <f>SUM(O10:O13)</f>
        <v>0</v>
      </c>
      <c r="P9" s="78">
        <f>SUM(P10:P13)</f>
        <v>168.2</v>
      </c>
      <c r="Q9" s="78">
        <f>SUM(R9:S9)</f>
        <v>0</v>
      </c>
      <c r="R9" s="78">
        <f>SUM(R10:R13)</f>
        <v>0</v>
      </c>
      <c r="S9" s="78">
        <f>SUM(S10:S13)</f>
        <v>0</v>
      </c>
      <c r="T9" s="78">
        <f>SUM(U9:V9)</f>
        <v>484</v>
      </c>
      <c r="U9" s="78">
        <f>SUM(U10:U13)</f>
        <v>0</v>
      </c>
      <c r="V9" s="78">
        <f>SUM(V10:V13)</f>
        <v>484</v>
      </c>
      <c r="W9" s="78">
        <f>SUM(W10:W13)</f>
        <v>0</v>
      </c>
      <c r="X9" s="78">
        <f>SUM(Y9:Z9)</f>
        <v>484</v>
      </c>
      <c r="Y9" s="78">
        <f>SUM(Y10:Y13)</f>
        <v>0</v>
      </c>
      <c r="Z9" s="78">
        <f>SUM(Z10:Z13)</f>
        <v>484</v>
      </c>
      <c r="AA9" s="78">
        <f>SUM(AA10:AA13)</f>
        <v>0</v>
      </c>
      <c r="AB9" s="78">
        <f>SUM(AC9:AD9)</f>
        <v>484</v>
      </c>
      <c r="AC9" s="62">
        <f>SUM(AC10:AC13)</f>
        <v>0</v>
      </c>
      <c r="AD9" s="62">
        <f>SUM(AD10:AD13)</f>
        <v>484</v>
      </c>
      <c r="AE9" s="78">
        <f>SUM(AE10:AE13)</f>
        <v>0</v>
      </c>
    </row>
    <row r="10" spans="1:31" ht="204" x14ac:dyDescent="0.2">
      <c r="A10" s="86" t="s">
        <v>318</v>
      </c>
      <c r="B10" s="104">
        <v>2502</v>
      </c>
      <c r="C10" s="21" t="s">
        <v>56</v>
      </c>
      <c r="D10" s="21" t="s">
        <v>57</v>
      </c>
      <c r="E10" s="21" t="s">
        <v>154</v>
      </c>
      <c r="F10" s="21" t="s">
        <v>181</v>
      </c>
      <c r="G10" s="21" t="s">
        <v>63</v>
      </c>
      <c r="H10" s="21" t="s">
        <v>182</v>
      </c>
      <c r="I10" s="21" t="s">
        <v>191</v>
      </c>
      <c r="J10" s="21" t="s">
        <v>188</v>
      </c>
      <c r="K10" s="21" t="s">
        <v>192</v>
      </c>
      <c r="L10" s="17" t="s">
        <v>20</v>
      </c>
      <c r="M10" s="23" t="s">
        <v>157</v>
      </c>
      <c r="N10" s="100">
        <f>SUM(O10:P10)</f>
        <v>0</v>
      </c>
      <c r="O10" s="100">
        <v>0</v>
      </c>
      <c r="P10" s="100">
        <v>0</v>
      </c>
      <c r="Q10" s="100">
        <f>SUM(R10:S10)</f>
        <v>0</v>
      </c>
      <c r="R10" s="100">
        <v>0</v>
      </c>
      <c r="S10" s="100">
        <v>0</v>
      </c>
      <c r="T10" s="100">
        <f>SUM(U10:V10)</f>
        <v>0</v>
      </c>
      <c r="U10" s="100">
        <v>0</v>
      </c>
      <c r="V10" s="100">
        <v>0</v>
      </c>
      <c r="W10" s="100">
        <v>0</v>
      </c>
      <c r="X10" s="100">
        <f>SUM(Y10:Z10)</f>
        <v>0</v>
      </c>
      <c r="Y10" s="100"/>
      <c r="Z10" s="100">
        <v>0</v>
      </c>
      <c r="AA10" s="100">
        <v>0</v>
      </c>
      <c r="AB10" s="100">
        <f>SUM(AC10:AD10)</f>
        <v>0</v>
      </c>
      <c r="AC10" s="11">
        <v>0</v>
      </c>
      <c r="AD10" s="11">
        <v>0</v>
      </c>
      <c r="AE10" s="100">
        <v>0</v>
      </c>
    </row>
    <row r="11" spans="1:31" ht="33.75" x14ac:dyDescent="0.2">
      <c r="A11" s="86" t="s">
        <v>325</v>
      </c>
      <c r="B11" s="104">
        <v>2517</v>
      </c>
      <c r="C11" s="21"/>
      <c r="D11" s="21"/>
      <c r="E11" s="21"/>
      <c r="F11" s="21"/>
      <c r="G11" s="21"/>
      <c r="H11" s="21"/>
      <c r="I11" s="21"/>
      <c r="J11" s="21"/>
      <c r="K11" s="21"/>
      <c r="L11" s="17" t="s">
        <v>20</v>
      </c>
      <c r="M11" s="23" t="s">
        <v>515</v>
      </c>
      <c r="N11" s="100">
        <f>SUM(O11:P11)</f>
        <v>168.2</v>
      </c>
      <c r="O11" s="100"/>
      <c r="P11" s="100">
        <v>168.2</v>
      </c>
      <c r="Q11" s="100">
        <f>SUM(R11:S11)</f>
        <v>0</v>
      </c>
      <c r="R11" s="100"/>
      <c r="S11" s="100">
        <v>0</v>
      </c>
      <c r="T11" s="100">
        <f>SUM(U11:V11)</f>
        <v>484</v>
      </c>
      <c r="U11" s="100"/>
      <c r="V11" s="100">
        <v>484</v>
      </c>
      <c r="W11" s="100">
        <v>0</v>
      </c>
      <c r="X11" s="100">
        <f>SUM(Y11:Z11)</f>
        <v>484</v>
      </c>
      <c r="Y11" s="100"/>
      <c r="Z11" s="100">
        <v>484</v>
      </c>
      <c r="AA11" s="100">
        <v>0</v>
      </c>
      <c r="AB11" s="100">
        <f>SUM(AC11:AD11)</f>
        <v>484</v>
      </c>
      <c r="AC11" s="11"/>
      <c r="AD11" s="11">
        <v>484</v>
      </c>
      <c r="AE11" s="100">
        <v>0</v>
      </c>
    </row>
    <row r="12" spans="1:31" ht="45" x14ac:dyDescent="0.2">
      <c r="A12" s="26" t="s">
        <v>263</v>
      </c>
      <c r="B12" s="28">
        <v>1148</v>
      </c>
      <c r="C12" s="26"/>
      <c r="D12" s="27"/>
      <c r="E12" s="27"/>
      <c r="F12" s="26"/>
      <c r="G12" s="27"/>
      <c r="H12" s="27"/>
      <c r="I12" s="26"/>
      <c r="J12" s="27"/>
      <c r="K12" s="27"/>
      <c r="L12" s="27"/>
      <c r="M12" s="27"/>
      <c r="N12" s="100"/>
      <c r="O12" s="100"/>
      <c r="P12" s="100"/>
      <c r="Q12" s="100"/>
      <c r="R12" s="100"/>
      <c r="S12" s="100"/>
      <c r="T12" s="100"/>
      <c r="U12" s="100"/>
      <c r="V12" s="100"/>
      <c r="W12" s="100"/>
      <c r="X12" s="100"/>
      <c r="Y12" s="100"/>
      <c r="Z12" s="100"/>
      <c r="AA12" s="100"/>
      <c r="AB12" s="100"/>
      <c r="AC12" s="50"/>
      <c r="AD12" s="50"/>
      <c r="AE12" s="100"/>
    </row>
    <row r="13" spans="1:31" ht="45" x14ac:dyDescent="0.2">
      <c r="A13" s="26" t="s">
        <v>264</v>
      </c>
      <c r="B13" s="28">
        <v>1149</v>
      </c>
      <c r="C13" s="26"/>
      <c r="D13" s="27"/>
      <c r="E13" s="27"/>
      <c r="F13" s="26"/>
      <c r="G13" s="27"/>
      <c r="H13" s="27"/>
      <c r="I13" s="26"/>
      <c r="J13" s="27"/>
      <c r="K13" s="27"/>
      <c r="L13" s="27"/>
      <c r="M13" s="27"/>
      <c r="N13" s="100"/>
      <c r="O13" s="100"/>
      <c r="P13" s="100"/>
      <c r="Q13" s="100"/>
      <c r="R13" s="100"/>
      <c r="S13" s="100"/>
      <c r="T13" s="100"/>
      <c r="U13" s="100"/>
      <c r="V13" s="100"/>
      <c r="W13" s="100"/>
      <c r="X13" s="100"/>
      <c r="Y13" s="100"/>
      <c r="Z13" s="100"/>
      <c r="AA13" s="100"/>
      <c r="AB13" s="100"/>
      <c r="AC13" s="50"/>
      <c r="AD13" s="50"/>
      <c r="AE13" s="100"/>
    </row>
    <row r="14" spans="1:31" ht="73.5" x14ac:dyDescent="0.2">
      <c r="A14" s="60" t="s">
        <v>349</v>
      </c>
      <c r="B14" s="64" t="s">
        <v>350</v>
      </c>
      <c r="C14" s="66" t="s">
        <v>10</v>
      </c>
      <c r="D14" s="67" t="s">
        <v>10</v>
      </c>
      <c r="E14" s="67" t="s">
        <v>10</v>
      </c>
      <c r="F14" s="66" t="s">
        <v>10</v>
      </c>
      <c r="G14" s="67" t="s">
        <v>10</v>
      </c>
      <c r="H14" s="67" t="s">
        <v>10</v>
      </c>
      <c r="I14" s="66" t="s">
        <v>10</v>
      </c>
      <c r="J14" s="67" t="s">
        <v>10</v>
      </c>
      <c r="K14" s="67" t="s">
        <v>10</v>
      </c>
      <c r="L14" s="64" t="s">
        <v>10</v>
      </c>
      <c r="M14" s="64" t="s">
        <v>10</v>
      </c>
      <c r="N14" s="100">
        <f t="shared" ref="N14:N29" si="0">SUM(O14:P14)</f>
        <v>7583</v>
      </c>
      <c r="O14" s="100">
        <f>O18+O16+O15</f>
        <v>7583</v>
      </c>
      <c r="P14" s="100"/>
      <c r="Q14" s="100">
        <f t="shared" ref="Q14:Q29" si="1">SUM(R14:S14)</f>
        <v>7575.1</v>
      </c>
      <c r="R14" s="100">
        <f>R18+R16+R15</f>
        <v>7575.1</v>
      </c>
      <c r="S14" s="100"/>
      <c r="T14" s="100">
        <f>SUM(U14:W14)</f>
        <v>23045.7</v>
      </c>
      <c r="U14" s="100">
        <f>U18+U16+U15</f>
        <v>7979.6</v>
      </c>
      <c r="V14" s="100">
        <f t="shared" ref="V14" si="2">V18+V16+V15</f>
        <v>0</v>
      </c>
      <c r="W14" s="100">
        <f>W18+W16+W15+W17</f>
        <v>15066.1</v>
      </c>
      <c r="X14" s="100">
        <f>SUM(Y14:AA14)</f>
        <v>22607.599999999999</v>
      </c>
      <c r="Y14" s="100">
        <f>Y18+Y16+Y15</f>
        <v>7979.6</v>
      </c>
      <c r="Z14" s="100"/>
      <c r="AA14" s="100">
        <f>AA18+AA16+AA15+AA17</f>
        <v>14628</v>
      </c>
      <c r="AB14" s="100">
        <f>SUM(AC14:AE14)</f>
        <v>22607.800000000003</v>
      </c>
      <c r="AC14" s="82">
        <f>AC18+AC16+AC15</f>
        <v>7979.6</v>
      </c>
      <c r="AD14" s="82"/>
      <c r="AE14" s="100">
        <f>AE18+AE16+AE15+AE17</f>
        <v>14628.2</v>
      </c>
    </row>
    <row r="15" spans="1:31" s="142" customFormat="1" ht="45" x14ac:dyDescent="0.2">
      <c r="A15" s="86" t="s">
        <v>351</v>
      </c>
      <c r="B15" s="8">
        <v>2601</v>
      </c>
      <c r="C15" s="75"/>
      <c r="D15" s="76"/>
      <c r="E15" s="76"/>
      <c r="F15" s="75"/>
      <c r="G15" s="76"/>
      <c r="H15" s="76"/>
      <c r="I15" s="75"/>
      <c r="J15" s="76"/>
      <c r="K15" s="76"/>
      <c r="L15" s="77"/>
      <c r="M15" s="77"/>
      <c r="N15" s="100">
        <f t="shared" si="0"/>
        <v>2025.6</v>
      </c>
      <c r="O15" s="100">
        <v>2025.6</v>
      </c>
      <c r="P15" s="100"/>
      <c r="Q15" s="100">
        <f t="shared" si="1"/>
        <v>2025.6</v>
      </c>
      <c r="R15" s="100">
        <v>2025.6</v>
      </c>
      <c r="S15" s="100"/>
      <c r="T15" s="100">
        <f t="shared" ref="T15:T28" si="3">SUM(U15:V15)</f>
        <v>2309.3000000000002</v>
      </c>
      <c r="U15" s="100">
        <v>2309.3000000000002</v>
      </c>
      <c r="V15" s="100"/>
      <c r="W15" s="100"/>
      <c r="X15" s="100">
        <f>SUM(Y15:Z15)</f>
        <v>2309.3000000000002</v>
      </c>
      <c r="Y15" s="100">
        <v>2309.3000000000002</v>
      </c>
      <c r="Z15" s="100"/>
      <c r="AA15" s="100"/>
      <c r="AB15" s="100">
        <f t="shared" ref="AB15:AB28" si="4">SUM(AC15:AD15)</f>
        <v>2309.3000000000002</v>
      </c>
      <c r="AC15" s="100">
        <v>2309.3000000000002</v>
      </c>
      <c r="AD15" s="100"/>
      <c r="AE15" s="100"/>
    </row>
    <row r="16" spans="1:31" s="142" customFormat="1" ht="45" x14ac:dyDescent="0.2">
      <c r="A16" s="86" t="s">
        <v>352</v>
      </c>
      <c r="B16" s="8">
        <v>2602</v>
      </c>
      <c r="C16" s="75"/>
      <c r="D16" s="76"/>
      <c r="E16" s="76"/>
      <c r="F16" s="75"/>
      <c r="G16" s="76"/>
      <c r="H16" s="76"/>
      <c r="I16" s="75"/>
      <c r="J16" s="76"/>
      <c r="K16" s="76"/>
      <c r="L16" s="77"/>
      <c r="M16" s="77"/>
      <c r="N16" s="100">
        <f t="shared" si="0"/>
        <v>5524.4</v>
      </c>
      <c r="O16" s="100">
        <v>5524.4</v>
      </c>
      <c r="P16" s="100"/>
      <c r="Q16" s="100">
        <f t="shared" si="1"/>
        <v>5524.4</v>
      </c>
      <c r="R16" s="100">
        <v>5524.4</v>
      </c>
      <c r="S16" s="100"/>
      <c r="T16" s="100">
        <f t="shared" si="3"/>
        <v>5670.3</v>
      </c>
      <c r="U16" s="100">
        <v>5670.3</v>
      </c>
      <c r="V16" s="100"/>
      <c r="W16" s="100"/>
      <c r="X16" s="100">
        <f>SUM(Y16:Z16)</f>
        <v>5670.3</v>
      </c>
      <c r="Y16" s="100">
        <v>5670.3</v>
      </c>
      <c r="Z16" s="100"/>
      <c r="AA16" s="100"/>
      <c r="AB16" s="100">
        <f t="shared" si="4"/>
        <v>5670.3</v>
      </c>
      <c r="AC16" s="100">
        <v>5670.3</v>
      </c>
      <c r="AD16" s="100"/>
      <c r="AE16" s="100"/>
    </row>
    <row r="17" spans="1:31" s="142" customFormat="1" ht="90" x14ac:dyDescent="0.2">
      <c r="A17" s="86" t="s">
        <v>353</v>
      </c>
      <c r="B17" s="8">
        <v>2608</v>
      </c>
      <c r="C17" s="75"/>
      <c r="D17" s="76"/>
      <c r="E17" s="76"/>
      <c r="F17" s="75"/>
      <c r="G17" s="76"/>
      <c r="H17" s="76"/>
      <c r="I17" s="75"/>
      <c r="J17" s="76"/>
      <c r="K17" s="76"/>
      <c r="L17" s="77" t="s">
        <v>20</v>
      </c>
      <c r="M17" s="77" t="s">
        <v>29</v>
      </c>
      <c r="N17" s="100"/>
      <c r="O17" s="100"/>
      <c r="P17" s="100"/>
      <c r="Q17" s="100"/>
      <c r="R17" s="100"/>
      <c r="S17" s="100"/>
      <c r="T17" s="100">
        <f>W17</f>
        <v>15066.1</v>
      </c>
      <c r="U17" s="100"/>
      <c r="V17" s="100"/>
      <c r="W17" s="100">
        <v>15066.1</v>
      </c>
      <c r="X17" s="100">
        <f>AA17</f>
        <v>14628</v>
      </c>
      <c r="Y17" s="100"/>
      <c r="Z17" s="100"/>
      <c r="AA17" s="100">
        <v>14628</v>
      </c>
      <c r="AB17" s="100">
        <f>AE17</f>
        <v>14628.2</v>
      </c>
      <c r="AC17" s="100"/>
      <c r="AD17" s="100"/>
      <c r="AE17" s="100">
        <v>14628.2</v>
      </c>
    </row>
    <row r="18" spans="1:31" ht="123.75" x14ac:dyDescent="0.2">
      <c r="A18" s="86" t="s">
        <v>356</v>
      </c>
      <c r="B18" s="74">
        <v>2619</v>
      </c>
      <c r="C18" s="75"/>
      <c r="D18" s="76"/>
      <c r="E18" s="76"/>
      <c r="F18" s="75"/>
      <c r="G18" s="76"/>
      <c r="H18" s="76"/>
      <c r="I18" s="75"/>
      <c r="J18" s="76"/>
      <c r="K18" s="76"/>
      <c r="L18" s="77"/>
      <c r="M18" s="77"/>
      <c r="N18" s="100">
        <f t="shared" si="0"/>
        <v>33</v>
      </c>
      <c r="O18" s="100">
        <v>33</v>
      </c>
      <c r="P18" s="100"/>
      <c r="Q18" s="100">
        <f t="shared" si="1"/>
        <v>25.1</v>
      </c>
      <c r="R18" s="100">
        <v>25.1</v>
      </c>
      <c r="S18" s="100"/>
      <c r="T18" s="100">
        <f t="shared" si="3"/>
        <v>0</v>
      </c>
      <c r="U18" s="100">
        <v>0</v>
      </c>
      <c r="V18" s="100"/>
      <c r="W18" s="100"/>
      <c r="X18" s="100">
        <f t="shared" ref="X18:X23" si="5">SUM(Y18:Z18)</f>
        <v>0</v>
      </c>
      <c r="Y18" s="100">
        <v>0</v>
      </c>
      <c r="Z18" s="100"/>
      <c r="AA18" s="100"/>
      <c r="AB18" s="100">
        <f t="shared" si="4"/>
        <v>0</v>
      </c>
      <c r="AC18" s="100">
        <v>0</v>
      </c>
      <c r="AD18" s="100"/>
      <c r="AE18" s="100"/>
    </row>
    <row r="19" spans="1:31" ht="73.5" x14ac:dyDescent="0.2">
      <c r="A19" s="60" t="s">
        <v>358</v>
      </c>
      <c r="B19" s="61" t="s">
        <v>357</v>
      </c>
      <c r="C19" s="66" t="s">
        <v>10</v>
      </c>
      <c r="D19" s="67" t="s">
        <v>10</v>
      </c>
      <c r="E19" s="67" t="s">
        <v>10</v>
      </c>
      <c r="F19" s="66" t="s">
        <v>10</v>
      </c>
      <c r="G19" s="67" t="s">
        <v>10</v>
      </c>
      <c r="H19" s="67" t="s">
        <v>10</v>
      </c>
      <c r="I19" s="66" t="s">
        <v>10</v>
      </c>
      <c r="J19" s="67" t="s">
        <v>10</v>
      </c>
      <c r="K19" s="67" t="s">
        <v>10</v>
      </c>
      <c r="L19" s="64" t="s">
        <v>10</v>
      </c>
      <c r="M19" s="64" t="s">
        <v>10</v>
      </c>
      <c r="N19" s="100">
        <f t="shared" si="0"/>
        <v>0</v>
      </c>
      <c r="O19" s="100"/>
      <c r="P19" s="100"/>
      <c r="Q19" s="100">
        <f t="shared" si="1"/>
        <v>0</v>
      </c>
      <c r="R19" s="100"/>
      <c r="S19" s="100"/>
      <c r="T19" s="100">
        <f t="shared" si="3"/>
        <v>0</v>
      </c>
      <c r="U19" s="100"/>
      <c r="V19" s="100"/>
      <c r="W19" s="100"/>
      <c r="X19" s="100">
        <f t="shared" si="5"/>
        <v>0</v>
      </c>
      <c r="Y19" s="100"/>
      <c r="Z19" s="100"/>
      <c r="AA19" s="100"/>
      <c r="AB19" s="100">
        <f t="shared" si="4"/>
        <v>0</v>
      </c>
      <c r="AC19" s="82"/>
      <c r="AD19" s="82"/>
      <c r="AE19" s="100"/>
    </row>
    <row r="20" spans="1:31" ht="22.5" x14ac:dyDescent="0.2">
      <c r="A20" s="65" t="s">
        <v>359</v>
      </c>
      <c r="B20" s="69">
        <v>2701</v>
      </c>
      <c r="C20" s="66" t="s">
        <v>10</v>
      </c>
      <c r="D20" s="67" t="s">
        <v>10</v>
      </c>
      <c r="E20" s="67" t="s">
        <v>10</v>
      </c>
      <c r="F20" s="66" t="s">
        <v>10</v>
      </c>
      <c r="G20" s="67" t="s">
        <v>10</v>
      </c>
      <c r="H20" s="67" t="s">
        <v>10</v>
      </c>
      <c r="I20" s="66" t="s">
        <v>10</v>
      </c>
      <c r="J20" s="67" t="s">
        <v>10</v>
      </c>
      <c r="K20" s="67" t="s">
        <v>10</v>
      </c>
      <c r="L20" s="64" t="s">
        <v>10</v>
      </c>
      <c r="M20" s="64" t="s">
        <v>10</v>
      </c>
      <c r="N20" s="100">
        <f t="shared" si="0"/>
        <v>0</v>
      </c>
      <c r="O20" s="100"/>
      <c r="P20" s="100"/>
      <c r="Q20" s="100">
        <f t="shared" si="1"/>
        <v>0</v>
      </c>
      <c r="R20" s="100"/>
      <c r="S20" s="100"/>
      <c r="T20" s="100">
        <f t="shared" si="3"/>
        <v>0</v>
      </c>
      <c r="U20" s="100"/>
      <c r="V20" s="100"/>
      <c r="W20" s="100"/>
      <c r="X20" s="100">
        <f t="shared" si="5"/>
        <v>0</v>
      </c>
      <c r="Y20" s="100"/>
      <c r="Z20" s="100"/>
      <c r="AA20" s="100"/>
      <c r="AB20" s="100">
        <f t="shared" si="4"/>
        <v>0</v>
      </c>
      <c r="AC20" s="82"/>
      <c r="AD20" s="82"/>
      <c r="AE20" s="100"/>
    </row>
    <row r="21" spans="1:31" ht="45" x14ac:dyDescent="0.2">
      <c r="A21" s="65" t="s">
        <v>360</v>
      </c>
      <c r="B21" s="69">
        <v>2800</v>
      </c>
      <c r="C21" s="66" t="s">
        <v>10</v>
      </c>
      <c r="D21" s="67" t="s">
        <v>10</v>
      </c>
      <c r="E21" s="67" t="s">
        <v>10</v>
      </c>
      <c r="F21" s="66" t="s">
        <v>10</v>
      </c>
      <c r="G21" s="67" t="s">
        <v>10</v>
      </c>
      <c r="H21" s="67" t="s">
        <v>10</v>
      </c>
      <c r="I21" s="66" t="s">
        <v>10</v>
      </c>
      <c r="J21" s="67" t="s">
        <v>10</v>
      </c>
      <c r="K21" s="67" t="s">
        <v>10</v>
      </c>
      <c r="L21" s="64" t="s">
        <v>10</v>
      </c>
      <c r="M21" s="64" t="s">
        <v>10</v>
      </c>
      <c r="N21" s="100">
        <f t="shared" si="0"/>
        <v>0</v>
      </c>
      <c r="O21" s="100"/>
      <c r="P21" s="100"/>
      <c r="Q21" s="100">
        <f t="shared" si="1"/>
        <v>0</v>
      </c>
      <c r="R21" s="100"/>
      <c r="S21" s="100"/>
      <c r="T21" s="100">
        <f t="shared" si="3"/>
        <v>0</v>
      </c>
      <c r="U21" s="100"/>
      <c r="V21" s="100"/>
      <c r="W21" s="100"/>
      <c r="X21" s="100">
        <f t="shared" si="5"/>
        <v>0</v>
      </c>
      <c r="Y21" s="100"/>
      <c r="Z21" s="100"/>
      <c r="AA21" s="100"/>
      <c r="AB21" s="100">
        <f t="shared" si="4"/>
        <v>0</v>
      </c>
      <c r="AC21" s="82"/>
      <c r="AD21" s="82"/>
      <c r="AE21" s="100"/>
    </row>
    <row r="22" spans="1:31" ht="67.5" x14ac:dyDescent="0.2">
      <c r="A22" s="65" t="s">
        <v>361</v>
      </c>
      <c r="B22" s="69">
        <v>2900</v>
      </c>
      <c r="C22" s="66" t="s">
        <v>10</v>
      </c>
      <c r="D22" s="67" t="s">
        <v>10</v>
      </c>
      <c r="E22" s="67" t="s">
        <v>10</v>
      </c>
      <c r="F22" s="66" t="s">
        <v>10</v>
      </c>
      <c r="G22" s="67" t="s">
        <v>10</v>
      </c>
      <c r="H22" s="67" t="s">
        <v>10</v>
      </c>
      <c r="I22" s="66" t="s">
        <v>10</v>
      </c>
      <c r="J22" s="67" t="s">
        <v>10</v>
      </c>
      <c r="K22" s="67" t="s">
        <v>10</v>
      </c>
      <c r="L22" s="64" t="s">
        <v>10</v>
      </c>
      <c r="M22" s="64" t="s">
        <v>10</v>
      </c>
      <c r="N22" s="100">
        <f t="shared" si="0"/>
        <v>0</v>
      </c>
      <c r="O22" s="100"/>
      <c r="P22" s="100"/>
      <c r="Q22" s="100">
        <f t="shared" si="1"/>
        <v>0</v>
      </c>
      <c r="R22" s="100"/>
      <c r="S22" s="100"/>
      <c r="T22" s="100">
        <f t="shared" si="3"/>
        <v>0</v>
      </c>
      <c r="U22" s="100"/>
      <c r="V22" s="100"/>
      <c r="W22" s="100"/>
      <c r="X22" s="100">
        <f t="shared" si="5"/>
        <v>0</v>
      </c>
      <c r="Y22" s="100"/>
      <c r="Z22" s="100"/>
      <c r="AA22" s="100"/>
      <c r="AB22" s="100">
        <f t="shared" si="4"/>
        <v>0</v>
      </c>
      <c r="AC22" s="82"/>
      <c r="AD22" s="82"/>
      <c r="AE22" s="100"/>
    </row>
    <row r="23" spans="1:31" ht="67.5" x14ac:dyDescent="0.2">
      <c r="A23" s="65" t="s">
        <v>363</v>
      </c>
      <c r="B23" s="69">
        <v>3000</v>
      </c>
      <c r="C23" s="66" t="s">
        <v>10</v>
      </c>
      <c r="D23" s="67" t="s">
        <v>10</v>
      </c>
      <c r="E23" s="67" t="s">
        <v>10</v>
      </c>
      <c r="F23" s="66" t="s">
        <v>10</v>
      </c>
      <c r="G23" s="67" t="s">
        <v>10</v>
      </c>
      <c r="H23" s="67" t="s">
        <v>10</v>
      </c>
      <c r="I23" s="66" t="s">
        <v>10</v>
      </c>
      <c r="J23" s="67" t="s">
        <v>10</v>
      </c>
      <c r="K23" s="67" t="s">
        <v>10</v>
      </c>
      <c r="L23" s="64" t="s">
        <v>10</v>
      </c>
      <c r="M23" s="64" t="s">
        <v>10</v>
      </c>
      <c r="N23" s="100">
        <f t="shared" si="0"/>
        <v>0</v>
      </c>
      <c r="O23" s="100"/>
      <c r="P23" s="100"/>
      <c r="Q23" s="100">
        <f t="shared" si="1"/>
        <v>0</v>
      </c>
      <c r="R23" s="100"/>
      <c r="S23" s="100"/>
      <c r="T23" s="100">
        <f t="shared" si="3"/>
        <v>0</v>
      </c>
      <c r="U23" s="100"/>
      <c r="V23" s="100"/>
      <c r="W23" s="100"/>
      <c r="X23" s="100">
        <f t="shared" si="5"/>
        <v>0</v>
      </c>
      <c r="Y23" s="100"/>
      <c r="Z23" s="100"/>
      <c r="AA23" s="100"/>
      <c r="AB23" s="100">
        <f t="shared" si="4"/>
        <v>0</v>
      </c>
      <c r="AC23" s="82"/>
      <c r="AD23" s="82"/>
      <c r="AE23" s="100"/>
    </row>
    <row r="24" spans="1:31" ht="94.5" x14ac:dyDescent="0.2">
      <c r="A24" s="60" t="s">
        <v>364</v>
      </c>
      <c r="B24" s="122">
        <v>3100</v>
      </c>
      <c r="C24" s="66" t="s">
        <v>10</v>
      </c>
      <c r="D24" s="67" t="s">
        <v>10</v>
      </c>
      <c r="E24" s="67" t="s">
        <v>10</v>
      </c>
      <c r="F24" s="66" t="s">
        <v>10</v>
      </c>
      <c r="G24" s="67" t="s">
        <v>10</v>
      </c>
      <c r="H24" s="67" t="s">
        <v>10</v>
      </c>
      <c r="I24" s="66" t="s">
        <v>10</v>
      </c>
      <c r="J24" s="67" t="s">
        <v>10</v>
      </c>
      <c r="K24" s="67" t="s">
        <v>10</v>
      </c>
      <c r="L24" s="64" t="s">
        <v>10</v>
      </c>
      <c r="M24" s="64" t="s">
        <v>10</v>
      </c>
      <c r="N24" s="100">
        <f t="shared" si="0"/>
        <v>0</v>
      </c>
      <c r="O24" s="100"/>
      <c r="P24" s="100"/>
      <c r="Q24" s="100">
        <f t="shared" si="1"/>
        <v>0</v>
      </c>
      <c r="R24" s="100"/>
      <c r="S24" s="100"/>
      <c r="T24" s="100">
        <f>SUM(U24:W24)</f>
        <v>153.6</v>
      </c>
      <c r="U24" s="100"/>
      <c r="V24" s="100"/>
      <c r="W24" s="100">
        <f>W26</f>
        <v>153.6</v>
      </c>
      <c r="X24" s="100">
        <f>SUM(Y24:AA24)</f>
        <v>112</v>
      </c>
      <c r="Y24" s="100"/>
      <c r="Z24" s="100"/>
      <c r="AA24" s="100">
        <f>AA26</f>
        <v>112</v>
      </c>
      <c r="AB24" s="100">
        <f>SUM(AC24:AE24)</f>
        <v>112</v>
      </c>
      <c r="AC24" s="82"/>
      <c r="AD24" s="82"/>
      <c r="AE24" s="100">
        <f>AE26</f>
        <v>112</v>
      </c>
    </row>
    <row r="25" spans="1:31" ht="22.5" x14ac:dyDescent="0.2">
      <c r="A25" s="65" t="s">
        <v>365</v>
      </c>
      <c r="B25" s="69">
        <v>3101</v>
      </c>
      <c r="C25" s="66" t="s">
        <v>10</v>
      </c>
      <c r="D25" s="67" t="s">
        <v>10</v>
      </c>
      <c r="E25" s="67" t="s">
        <v>10</v>
      </c>
      <c r="F25" s="66" t="s">
        <v>10</v>
      </c>
      <c r="G25" s="67" t="s">
        <v>10</v>
      </c>
      <c r="H25" s="67" t="s">
        <v>10</v>
      </c>
      <c r="I25" s="66" t="s">
        <v>10</v>
      </c>
      <c r="J25" s="67" t="s">
        <v>10</v>
      </c>
      <c r="K25" s="67" t="s">
        <v>10</v>
      </c>
      <c r="L25" s="64" t="s">
        <v>10</v>
      </c>
      <c r="M25" s="64" t="s">
        <v>10</v>
      </c>
      <c r="N25" s="100">
        <f t="shared" si="0"/>
        <v>0</v>
      </c>
      <c r="O25" s="100"/>
      <c r="P25" s="100"/>
      <c r="Q25" s="100">
        <f t="shared" si="1"/>
        <v>0</v>
      </c>
      <c r="R25" s="100"/>
      <c r="S25" s="100"/>
      <c r="T25" s="100">
        <f t="shared" si="3"/>
        <v>0</v>
      </c>
      <c r="U25" s="100"/>
      <c r="V25" s="100"/>
      <c r="W25" s="100"/>
      <c r="X25" s="100">
        <f>SUM(Y25:Z25)</f>
        <v>0</v>
      </c>
      <c r="Y25" s="100"/>
      <c r="Z25" s="100"/>
      <c r="AA25" s="100"/>
      <c r="AB25" s="100">
        <f t="shared" si="4"/>
        <v>0</v>
      </c>
      <c r="AC25" s="82"/>
      <c r="AD25" s="82"/>
      <c r="AE25" s="100"/>
    </row>
    <row r="26" spans="1:31" ht="22.5" x14ac:dyDescent="0.2">
      <c r="A26" s="65" t="s">
        <v>370</v>
      </c>
      <c r="B26" s="69">
        <v>3200</v>
      </c>
      <c r="C26" s="66"/>
      <c r="D26" s="66"/>
      <c r="E26" s="66"/>
      <c r="F26" s="66"/>
      <c r="G26" s="67"/>
      <c r="H26" s="71"/>
      <c r="I26" s="72"/>
      <c r="J26" s="72"/>
      <c r="K26" s="73"/>
      <c r="L26" s="64"/>
      <c r="M26" s="64"/>
      <c r="N26" s="100">
        <f t="shared" si="0"/>
        <v>0</v>
      </c>
      <c r="O26" s="100"/>
      <c r="P26" s="100"/>
      <c r="Q26" s="100">
        <f t="shared" si="1"/>
        <v>0</v>
      </c>
      <c r="R26" s="100"/>
      <c r="S26" s="100"/>
      <c r="T26" s="100">
        <f>SUM(U26:W26)</f>
        <v>153.6</v>
      </c>
      <c r="U26" s="100"/>
      <c r="V26" s="100"/>
      <c r="W26" s="100">
        <f>W27</f>
        <v>153.6</v>
      </c>
      <c r="X26" s="100">
        <f>SUM(Y26:Z26)</f>
        <v>0</v>
      </c>
      <c r="Y26" s="100"/>
      <c r="Z26" s="100"/>
      <c r="AA26" s="100">
        <f>AA27</f>
        <v>112</v>
      </c>
      <c r="AB26" s="100">
        <f>SUM(AC26:AE26)</f>
        <v>112</v>
      </c>
      <c r="AC26" s="82"/>
      <c r="AD26" s="82"/>
      <c r="AE26" s="100">
        <f>AE27</f>
        <v>112</v>
      </c>
    </row>
    <row r="27" spans="1:31" s="142" customFormat="1" ht="247.5" x14ac:dyDescent="0.2">
      <c r="A27" s="86" t="s">
        <v>424</v>
      </c>
      <c r="B27" s="74">
        <v>3237</v>
      </c>
      <c r="C27" s="75"/>
      <c r="D27" s="75"/>
      <c r="E27" s="75"/>
      <c r="F27" s="75"/>
      <c r="G27" s="76"/>
      <c r="H27" s="85"/>
      <c r="I27" s="22"/>
      <c r="J27" s="22"/>
      <c r="K27" s="37"/>
      <c r="L27" s="77"/>
      <c r="M27" s="77"/>
      <c r="N27" s="100"/>
      <c r="O27" s="100"/>
      <c r="P27" s="100"/>
      <c r="Q27" s="100"/>
      <c r="R27" s="100"/>
      <c r="S27" s="100"/>
      <c r="T27" s="100">
        <f>W27</f>
        <v>153.6</v>
      </c>
      <c r="U27" s="100"/>
      <c r="V27" s="100"/>
      <c r="W27" s="100">
        <v>153.6</v>
      </c>
      <c r="X27" s="100">
        <f>AA27</f>
        <v>112</v>
      </c>
      <c r="Y27" s="100"/>
      <c r="Z27" s="100"/>
      <c r="AA27" s="100">
        <v>112</v>
      </c>
      <c r="AB27" s="100">
        <f>AE27</f>
        <v>112</v>
      </c>
      <c r="AC27" s="100"/>
      <c r="AD27" s="100"/>
      <c r="AE27" s="100">
        <v>112</v>
      </c>
    </row>
    <row r="28" spans="1:31" ht="45" x14ac:dyDescent="0.2">
      <c r="A28" s="65" t="s">
        <v>431</v>
      </c>
      <c r="B28" s="69">
        <v>3300</v>
      </c>
      <c r="C28" s="66" t="s">
        <v>10</v>
      </c>
      <c r="D28" s="67" t="s">
        <v>10</v>
      </c>
      <c r="E28" s="67" t="s">
        <v>10</v>
      </c>
      <c r="F28" s="66" t="s">
        <v>10</v>
      </c>
      <c r="G28" s="67" t="s">
        <v>10</v>
      </c>
      <c r="H28" s="67" t="s">
        <v>10</v>
      </c>
      <c r="I28" s="66" t="s">
        <v>10</v>
      </c>
      <c r="J28" s="67" t="s">
        <v>10</v>
      </c>
      <c r="K28" s="67" t="s">
        <v>10</v>
      </c>
      <c r="L28" s="64" t="s">
        <v>10</v>
      </c>
      <c r="M28" s="64" t="s">
        <v>10</v>
      </c>
      <c r="N28" s="100">
        <f t="shared" si="0"/>
        <v>0</v>
      </c>
      <c r="O28" s="100"/>
      <c r="P28" s="100"/>
      <c r="Q28" s="100">
        <f t="shared" si="1"/>
        <v>0</v>
      </c>
      <c r="R28" s="100"/>
      <c r="S28" s="100"/>
      <c r="T28" s="100">
        <f t="shared" si="3"/>
        <v>0</v>
      </c>
      <c r="U28" s="100"/>
      <c r="V28" s="100"/>
      <c r="W28" s="100"/>
      <c r="X28" s="100">
        <f>SUM(Y28:Z28)</f>
        <v>0</v>
      </c>
      <c r="Y28" s="100"/>
      <c r="Z28" s="100"/>
      <c r="AA28" s="100"/>
      <c r="AB28" s="100">
        <f t="shared" si="4"/>
        <v>0</v>
      </c>
      <c r="AC28" s="82"/>
      <c r="AD28" s="82"/>
      <c r="AE28" s="100"/>
    </row>
    <row r="29" spans="1:31" ht="52.5" x14ac:dyDescent="0.2">
      <c r="A29" s="60" t="s">
        <v>432</v>
      </c>
      <c r="B29" s="69">
        <v>3400</v>
      </c>
      <c r="C29" s="66" t="s">
        <v>10</v>
      </c>
      <c r="D29" s="67" t="s">
        <v>10</v>
      </c>
      <c r="E29" s="67" t="s">
        <v>10</v>
      </c>
      <c r="F29" s="66" t="s">
        <v>10</v>
      </c>
      <c r="G29" s="67" t="s">
        <v>10</v>
      </c>
      <c r="H29" s="67" t="s">
        <v>10</v>
      </c>
      <c r="I29" s="66" t="s">
        <v>10</v>
      </c>
      <c r="J29" s="67" t="s">
        <v>10</v>
      </c>
      <c r="K29" s="67" t="s">
        <v>10</v>
      </c>
      <c r="L29" s="64" t="s">
        <v>10</v>
      </c>
      <c r="M29" s="64" t="s">
        <v>10</v>
      </c>
      <c r="N29" s="100">
        <f t="shared" si="0"/>
        <v>0</v>
      </c>
      <c r="O29" s="100"/>
      <c r="P29" s="100"/>
      <c r="Q29" s="100">
        <f t="shared" si="1"/>
        <v>0</v>
      </c>
      <c r="R29" s="100"/>
      <c r="S29" s="100"/>
      <c r="T29" s="100">
        <f>SUM(U29:W29)</f>
        <v>8390.5</v>
      </c>
      <c r="U29" s="100"/>
      <c r="V29" s="100"/>
      <c r="W29" s="100">
        <f>W30+W31</f>
        <v>8390.5</v>
      </c>
      <c r="X29" s="100">
        <f>SUM(Y29:AA29)</f>
        <v>8390.5</v>
      </c>
      <c r="Y29" s="100"/>
      <c r="Z29" s="100"/>
      <c r="AA29" s="100">
        <f>AA30+AA31</f>
        <v>8390.5</v>
      </c>
      <c r="AB29" s="100">
        <f>SUM(AC29:AE29)</f>
        <v>8390.5</v>
      </c>
      <c r="AC29" s="82"/>
      <c r="AD29" s="82"/>
      <c r="AE29" s="100">
        <f>AE30+AE31</f>
        <v>8390.5</v>
      </c>
    </row>
    <row r="30" spans="1:31" s="142" customFormat="1" ht="191.25" x14ac:dyDescent="0.2">
      <c r="A30" s="86" t="s">
        <v>433</v>
      </c>
      <c r="B30" s="74">
        <v>3402</v>
      </c>
      <c r="C30" s="75"/>
      <c r="D30" s="76"/>
      <c r="E30" s="76"/>
      <c r="F30" s="75"/>
      <c r="G30" s="76"/>
      <c r="H30" s="76"/>
      <c r="I30" s="75"/>
      <c r="J30" s="76"/>
      <c r="K30" s="76"/>
      <c r="L30" s="77"/>
      <c r="M30" s="77"/>
      <c r="N30" s="100"/>
      <c r="O30" s="100"/>
      <c r="P30" s="100"/>
      <c r="Q30" s="100"/>
      <c r="R30" s="100"/>
      <c r="S30" s="100"/>
      <c r="T30" s="100">
        <f>W30</f>
        <v>5838.1</v>
      </c>
      <c r="U30" s="100"/>
      <c r="V30" s="100"/>
      <c r="W30" s="100">
        <v>5838.1</v>
      </c>
      <c r="X30" s="100">
        <f>AA30</f>
        <v>5838.1</v>
      </c>
      <c r="Y30" s="100"/>
      <c r="Z30" s="100"/>
      <c r="AA30" s="100">
        <v>5838.1</v>
      </c>
      <c r="AB30" s="100">
        <f>AE30</f>
        <v>5838.1</v>
      </c>
      <c r="AC30" s="100"/>
      <c r="AD30" s="100"/>
      <c r="AE30" s="100">
        <v>5838.1</v>
      </c>
    </row>
    <row r="31" spans="1:31" s="142" customFormat="1" ht="191.25" x14ac:dyDescent="0.2">
      <c r="A31" s="86" t="s">
        <v>434</v>
      </c>
      <c r="B31" s="74">
        <v>3403</v>
      </c>
      <c r="C31" s="75"/>
      <c r="D31" s="76"/>
      <c r="E31" s="76"/>
      <c r="F31" s="75"/>
      <c r="G31" s="76"/>
      <c r="H31" s="76"/>
      <c r="I31" s="75"/>
      <c r="J31" s="76"/>
      <c r="K31" s="76"/>
      <c r="L31" s="77"/>
      <c r="M31" s="77"/>
      <c r="N31" s="100"/>
      <c r="O31" s="100"/>
      <c r="P31" s="100"/>
      <c r="Q31" s="100"/>
      <c r="R31" s="100"/>
      <c r="S31" s="100"/>
      <c r="T31" s="100">
        <f>W31</f>
        <v>2552.4</v>
      </c>
      <c r="U31" s="100"/>
      <c r="V31" s="100"/>
      <c r="W31" s="100">
        <v>2552.4</v>
      </c>
      <c r="X31" s="100">
        <f>AA31</f>
        <v>2552.4</v>
      </c>
      <c r="Y31" s="100"/>
      <c r="Z31" s="100"/>
      <c r="AA31" s="100">
        <v>2552.4</v>
      </c>
      <c r="AB31" s="100">
        <f>AE31</f>
        <v>2552.4</v>
      </c>
      <c r="AC31" s="100"/>
      <c r="AD31" s="100"/>
      <c r="AE31" s="100">
        <v>2552.4</v>
      </c>
    </row>
    <row r="32" spans="1:31" ht="63" x14ac:dyDescent="0.2">
      <c r="A32" s="60" t="s">
        <v>435</v>
      </c>
      <c r="B32" s="122">
        <v>3500</v>
      </c>
      <c r="C32" s="66"/>
      <c r="D32" s="67"/>
      <c r="E32" s="67"/>
      <c r="F32" s="66"/>
      <c r="G32" s="67"/>
      <c r="H32" s="67"/>
      <c r="I32" s="66"/>
      <c r="J32" s="67"/>
      <c r="K32" s="67"/>
      <c r="L32" s="64"/>
      <c r="M32" s="64"/>
      <c r="N32" s="100"/>
      <c r="O32" s="100"/>
      <c r="P32" s="100"/>
      <c r="Q32" s="100"/>
      <c r="R32" s="100"/>
      <c r="S32" s="100"/>
      <c r="T32" s="100"/>
      <c r="U32" s="100"/>
      <c r="V32" s="100"/>
      <c r="W32" s="100"/>
      <c r="X32" s="100"/>
      <c r="Y32" s="100"/>
      <c r="Z32" s="100"/>
      <c r="AA32" s="100"/>
      <c r="AB32" s="100"/>
      <c r="AC32" s="82"/>
      <c r="AD32" s="82"/>
      <c r="AE32" s="100"/>
    </row>
    <row r="33" spans="1:31" ht="63" x14ac:dyDescent="0.2">
      <c r="A33" s="60" t="s">
        <v>255</v>
      </c>
      <c r="B33" s="69">
        <v>2100</v>
      </c>
      <c r="C33" s="66" t="s">
        <v>10</v>
      </c>
      <c r="D33" s="67" t="s">
        <v>10</v>
      </c>
      <c r="E33" s="67" t="s">
        <v>10</v>
      </c>
      <c r="F33" s="66" t="s">
        <v>10</v>
      </c>
      <c r="G33" s="67" t="s">
        <v>10</v>
      </c>
      <c r="H33" s="67" t="s">
        <v>10</v>
      </c>
      <c r="I33" s="66" t="s">
        <v>10</v>
      </c>
      <c r="J33" s="67" t="s">
        <v>10</v>
      </c>
      <c r="K33" s="67" t="s">
        <v>10</v>
      </c>
      <c r="L33" s="64" t="s">
        <v>10</v>
      </c>
      <c r="M33" s="64" t="s">
        <v>10</v>
      </c>
      <c r="N33" s="100">
        <f t="shared" ref="N33:N38" si="6">SUM(O33:P33)</f>
        <v>0</v>
      </c>
      <c r="O33" s="100"/>
      <c r="P33" s="100"/>
      <c r="Q33" s="100">
        <f t="shared" ref="Q33:Q38" si="7">SUM(R33:S33)</f>
        <v>0</v>
      </c>
      <c r="R33" s="100"/>
      <c r="S33" s="100"/>
      <c r="T33" s="100">
        <f t="shared" ref="T33:T38" si="8">SUM(U33:V33)</f>
        <v>0</v>
      </c>
      <c r="U33" s="100"/>
      <c r="V33" s="100"/>
      <c r="W33" s="100"/>
      <c r="X33" s="100">
        <f t="shared" ref="X33:X38" si="9">SUM(Y33:Z33)</f>
        <v>0</v>
      </c>
      <c r="Y33" s="100"/>
      <c r="Z33" s="100"/>
      <c r="AA33" s="100"/>
      <c r="AB33" s="100">
        <f t="shared" ref="AB33:AB38" si="10">SUM(AC33:AD33)</f>
        <v>0</v>
      </c>
      <c r="AC33" s="82"/>
      <c r="AD33" s="82"/>
      <c r="AE33" s="100"/>
    </row>
    <row r="34" spans="1:31" ht="33.75" x14ac:dyDescent="0.2">
      <c r="A34" s="65" t="s">
        <v>256</v>
      </c>
      <c r="B34" s="69">
        <v>2101</v>
      </c>
      <c r="C34" s="66" t="s">
        <v>10</v>
      </c>
      <c r="D34" s="67" t="s">
        <v>10</v>
      </c>
      <c r="E34" s="67" t="s">
        <v>10</v>
      </c>
      <c r="F34" s="66" t="s">
        <v>10</v>
      </c>
      <c r="G34" s="67" t="s">
        <v>10</v>
      </c>
      <c r="H34" s="67" t="s">
        <v>10</v>
      </c>
      <c r="I34" s="66" t="s">
        <v>10</v>
      </c>
      <c r="J34" s="67" t="s">
        <v>10</v>
      </c>
      <c r="K34" s="67" t="s">
        <v>10</v>
      </c>
      <c r="L34" s="64" t="s">
        <v>10</v>
      </c>
      <c r="M34" s="64" t="s">
        <v>10</v>
      </c>
      <c r="N34" s="100">
        <f t="shared" si="6"/>
        <v>0</v>
      </c>
      <c r="O34" s="100"/>
      <c r="P34" s="100"/>
      <c r="Q34" s="100">
        <f t="shared" si="7"/>
        <v>0</v>
      </c>
      <c r="R34" s="100"/>
      <c r="S34" s="100"/>
      <c r="T34" s="100">
        <f t="shared" si="8"/>
        <v>0</v>
      </c>
      <c r="U34" s="100"/>
      <c r="V34" s="100"/>
      <c r="W34" s="100"/>
      <c r="X34" s="100">
        <f t="shared" si="9"/>
        <v>0</v>
      </c>
      <c r="Y34" s="100"/>
      <c r="Z34" s="100"/>
      <c r="AA34" s="100"/>
      <c r="AB34" s="100">
        <f t="shared" si="10"/>
        <v>0</v>
      </c>
      <c r="AC34" s="82"/>
      <c r="AD34" s="82"/>
      <c r="AE34" s="100"/>
    </row>
    <row r="35" spans="1:31" ht="22.5" x14ac:dyDescent="0.2">
      <c r="A35" s="65" t="s">
        <v>257</v>
      </c>
      <c r="B35" s="69">
        <v>2102</v>
      </c>
      <c r="C35" s="66" t="s">
        <v>10</v>
      </c>
      <c r="D35" s="67" t="s">
        <v>10</v>
      </c>
      <c r="E35" s="67" t="s">
        <v>10</v>
      </c>
      <c r="F35" s="66" t="s">
        <v>10</v>
      </c>
      <c r="G35" s="67" t="s">
        <v>10</v>
      </c>
      <c r="H35" s="67" t="s">
        <v>10</v>
      </c>
      <c r="I35" s="66" t="s">
        <v>10</v>
      </c>
      <c r="J35" s="67" t="s">
        <v>10</v>
      </c>
      <c r="K35" s="67" t="s">
        <v>10</v>
      </c>
      <c r="L35" s="64" t="s">
        <v>10</v>
      </c>
      <c r="M35" s="64" t="s">
        <v>10</v>
      </c>
      <c r="N35" s="100">
        <f t="shared" si="6"/>
        <v>0</v>
      </c>
      <c r="O35" s="100"/>
      <c r="P35" s="100"/>
      <c r="Q35" s="100">
        <f t="shared" si="7"/>
        <v>0</v>
      </c>
      <c r="R35" s="100"/>
      <c r="S35" s="100"/>
      <c r="T35" s="100">
        <f t="shared" si="8"/>
        <v>0</v>
      </c>
      <c r="U35" s="100"/>
      <c r="V35" s="100"/>
      <c r="W35" s="100"/>
      <c r="X35" s="100">
        <f t="shared" si="9"/>
        <v>0</v>
      </c>
      <c r="Y35" s="100"/>
      <c r="Z35" s="100"/>
      <c r="AA35" s="100"/>
      <c r="AB35" s="100">
        <f t="shared" si="10"/>
        <v>0</v>
      </c>
      <c r="AC35" s="82"/>
      <c r="AD35" s="82"/>
      <c r="AE35" s="100"/>
    </row>
    <row r="36" spans="1:31" ht="101.25" x14ac:dyDescent="0.2">
      <c r="A36" s="65" t="s">
        <v>258</v>
      </c>
      <c r="B36" s="69">
        <v>2103</v>
      </c>
      <c r="C36" s="66" t="s">
        <v>10</v>
      </c>
      <c r="D36" s="67" t="s">
        <v>10</v>
      </c>
      <c r="E36" s="67" t="s">
        <v>10</v>
      </c>
      <c r="F36" s="66" t="s">
        <v>10</v>
      </c>
      <c r="G36" s="67" t="s">
        <v>10</v>
      </c>
      <c r="H36" s="67" t="s">
        <v>10</v>
      </c>
      <c r="I36" s="66" t="s">
        <v>10</v>
      </c>
      <c r="J36" s="67" t="s">
        <v>10</v>
      </c>
      <c r="K36" s="67" t="s">
        <v>10</v>
      </c>
      <c r="L36" s="64" t="s">
        <v>10</v>
      </c>
      <c r="M36" s="64" t="s">
        <v>10</v>
      </c>
      <c r="N36" s="100">
        <f t="shared" si="6"/>
        <v>0</v>
      </c>
      <c r="O36" s="100"/>
      <c r="P36" s="100"/>
      <c r="Q36" s="100">
        <f t="shared" si="7"/>
        <v>0</v>
      </c>
      <c r="R36" s="100"/>
      <c r="S36" s="100"/>
      <c r="T36" s="100">
        <f t="shared" si="8"/>
        <v>0</v>
      </c>
      <c r="U36" s="100"/>
      <c r="V36" s="100"/>
      <c r="W36" s="100"/>
      <c r="X36" s="100">
        <f t="shared" si="9"/>
        <v>0</v>
      </c>
      <c r="Y36" s="100"/>
      <c r="Z36" s="100"/>
      <c r="AA36" s="100"/>
      <c r="AB36" s="100">
        <f t="shared" si="10"/>
        <v>0</v>
      </c>
      <c r="AC36" s="82"/>
      <c r="AD36" s="82"/>
      <c r="AE36" s="100"/>
    </row>
    <row r="37" spans="1:31" ht="24" x14ac:dyDescent="0.2">
      <c r="A37" s="79" t="s">
        <v>259</v>
      </c>
      <c r="B37" s="80">
        <v>2200</v>
      </c>
      <c r="C37" s="66" t="s">
        <v>10</v>
      </c>
      <c r="D37" s="67" t="s">
        <v>10</v>
      </c>
      <c r="E37" s="67" t="s">
        <v>10</v>
      </c>
      <c r="F37" s="66" t="s">
        <v>10</v>
      </c>
      <c r="G37" s="67" t="s">
        <v>10</v>
      </c>
      <c r="H37" s="67" t="s">
        <v>10</v>
      </c>
      <c r="I37" s="66" t="s">
        <v>10</v>
      </c>
      <c r="J37" s="67" t="s">
        <v>10</v>
      </c>
      <c r="K37" s="67" t="s">
        <v>10</v>
      </c>
      <c r="L37" s="64" t="s">
        <v>10</v>
      </c>
      <c r="M37" s="64" t="s">
        <v>10</v>
      </c>
      <c r="N37" s="100">
        <f t="shared" si="6"/>
        <v>0</v>
      </c>
      <c r="O37" s="100"/>
      <c r="P37" s="100"/>
      <c r="Q37" s="100">
        <f t="shared" si="7"/>
        <v>0</v>
      </c>
      <c r="R37" s="100"/>
      <c r="S37" s="100"/>
      <c r="T37" s="100">
        <f t="shared" si="8"/>
        <v>0</v>
      </c>
      <c r="U37" s="100"/>
      <c r="V37" s="100"/>
      <c r="W37" s="100"/>
      <c r="X37" s="100">
        <f t="shared" si="9"/>
        <v>0</v>
      </c>
      <c r="Y37" s="100"/>
      <c r="Z37" s="100"/>
      <c r="AA37" s="100"/>
      <c r="AB37" s="100">
        <f t="shared" si="10"/>
        <v>0</v>
      </c>
      <c r="AC37" s="82"/>
      <c r="AD37" s="82"/>
      <c r="AE37" s="100"/>
    </row>
    <row r="38" spans="1:31" ht="72" x14ac:dyDescent="0.2">
      <c r="A38" s="79" t="s">
        <v>260</v>
      </c>
      <c r="B38" s="80">
        <v>2201</v>
      </c>
      <c r="C38" s="66"/>
      <c r="D38" s="67"/>
      <c r="E38" s="67"/>
      <c r="F38" s="66"/>
      <c r="G38" s="67"/>
      <c r="H38" s="67"/>
      <c r="I38" s="66"/>
      <c r="J38" s="67"/>
      <c r="K38" s="67"/>
      <c r="L38" s="64"/>
      <c r="M38" s="64"/>
      <c r="N38" s="100">
        <f t="shared" si="6"/>
        <v>0</v>
      </c>
      <c r="O38" s="100"/>
      <c r="P38" s="100"/>
      <c r="Q38" s="100">
        <f t="shared" si="7"/>
        <v>0</v>
      </c>
      <c r="R38" s="100"/>
      <c r="S38" s="100"/>
      <c r="T38" s="100">
        <f t="shared" si="8"/>
        <v>0</v>
      </c>
      <c r="U38" s="100"/>
      <c r="V38" s="100"/>
      <c r="W38" s="100"/>
      <c r="X38" s="100">
        <f t="shared" si="9"/>
        <v>0</v>
      </c>
      <c r="Y38" s="100"/>
      <c r="Z38" s="100"/>
      <c r="AA38" s="100"/>
      <c r="AB38" s="100">
        <f t="shared" si="10"/>
        <v>0</v>
      </c>
      <c r="AC38" s="82"/>
      <c r="AD38" s="82"/>
      <c r="AE38" s="100"/>
    </row>
    <row r="39" spans="1:31" ht="132" x14ac:dyDescent="0.2">
      <c r="A39" s="102" t="s">
        <v>267</v>
      </c>
      <c r="B39" s="101">
        <v>2203</v>
      </c>
      <c r="C39" s="75"/>
      <c r="D39" s="76"/>
      <c r="E39" s="76"/>
      <c r="F39" s="75"/>
      <c r="G39" s="76"/>
      <c r="H39" s="76"/>
      <c r="I39" s="75"/>
      <c r="J39" s="76"/>
      <c r="K39" s="76"/>
      <c r="L39" s="77" t="s">
        <v>24</v>
      </c>
      <c r="M39" s="77" t="s">
        <v>33</v>
      </c>
      <c r="N39" s="100"/>
      <c r="O39" s="100"/>
      <c r="P39" s="100"/>
      <c r="Q39" s="100"/>
      <c r="R39" s="100"/>
      <c r="S39" s="100"/>
      <c r="T39" s="100"/>
      <c r="U39" s="100"/>
      <c r="V39" s="100"/>
      <c r="W39" s="100"/>
      <c r="X39" s="100"/>
      <c r="Y39" s="100"/>
      <c r="Z39" s="100"/>
      <c r="AA39" s="100"/>
      <c r="AB39" s="100"/>
      <c r="AC39" s="100"/>
      <c r="AD39" s="100"/>
      <c r="AE39" s="100"/>
    </row>
    <row r="40" spans="1:31" ht="24" x14ac:dyDescent="0.2">
      <c r="A40" s="79" t="s">
        <v>261</v>
      </c>
      <c r="B40" s="80">
        <v>2300</v>
      </c>
      <c r="C40" s="66"/>
      <c r="D40" s="66"/>
      <c r="E40" s="66"/>
      <c r="F40" s="66"/>
      <c r="G40" s="67"/>
      <c r="H40" s="67"/>
      <c r="I40" s="66"/>
      <c r="J40" s="67"/>
      <c r="K40" s="71"/>
      <c r="L40" s="64"/>
      <c r="M40" s="64"/>
      <c r="N40" s="100"/>
      <c r="O40" s="100"/>
      <c r="P40" s="100"/>
      <c r="Q40" s="100"/>
      <c r="R40" s="100"/>
      <c r="S40" s="100"/>
      <c r="T40" s="100"/>
      <c r="U40" s="100"/>
      <c r="V40" s="100"/>
      <c r="W40" s="100"/>
      <c r="X40" s="100"/>
      <c r="Y40" s="100"/>
      <c r="Z40" s="100"/>
      <c r="AA40" s="100"/>
      <c r="AB40" s="100"/>
      <c r="AC40" s="82"/>
      <c r="AD40" s="82"/>
      <c r="AE40" s="100"/>
    </row>
    <row r="41" spans="1:31" ht="84" x14ac:dyDescent="0.2">
      <c r="A41" s="102" t="s">
        <v>268</v>
      </c>
      <c r="B41" s="101">
        <v>2303</v>
      </c>
      <c r="C41" s="75"/>
      <c r="D41" s="75"/>
      <c r="E41" s="75"/>
      <c r="F41" s="75"/>
      <c r="G41" s="76"/>
      <c r="H41" s="76"/>
      <c r="I41" s="75"/>
      <c r="J41" s="76"/>
      <c r="K41" s="85"/>
      <c r="L41" s="77" t="s">
        <v>37</v>
      </c>
      <c r="M41" s="77" t="s">
        <v>21</v>
      </c>
      <c r="N41" s="100"/>
      <c r="O41" s="100"/>
      <c r="P41" s="100"/>
      <c r="Q41" s="100"/>
      <c r="R41" s="100"/>
      <c r="S41" s="100"/>
      <c r="T41" s="100"/>
      <c r="U41" s="100"/>
      <c r="V41" s="100"/>
      <c r="W41" s="100"/>
      <c r="X41" s="100"/>
      <c r="Y41" s="100"/>
      <c r="Z41" s="100"/>
      <c r="AA41" s="100"/>
      <c r="AB41" s="100"/>
      <c r="AC41" s="100"/>
      <c r="AD41" s="100"/>
      <c r="AE41" s="100"/>
    </row>
    <row r="42" spans="1:31" ht="144" x14ac:dyDescent="0.2">
      <c r="A42" s="102" t="s">
        <v>270</v>
      </c>
      <c r="B42" s="101">
        <v>2304</v>
      </c>
      <c r="C42" s="75"/>
      <c r="D42" s="75"/>
      <c r="E42" s="75"/>
      <c r="F42" s="75"/>
      <c r="G42" s="76"/>
      <c r="H42" s="76"/>
      <c r="I42" s="75"/>
      <c r="J42" s="76"/>
      <c r="K42" s="85"/>
      <c r="L42" s="77" t="s">
        <v>39</v>
      </c>
      <c r="M42" s="77" t="s">
        <v>20</v>
      </c>
      <c r="N42" s="100"/>
      <c r="O42" s="100"/>
      <c r="P42" s="100"/>
      <c r="Q42" s="100"/>
      <c r="R42" s="100"/>
      <c r="S42" s="100"/>
      <c r="T42" s="100"/>
      <c r="U42" s="100"/>
      <c r="V42" s="100"/>
      <c r="W42" s="100"/>
      <c r="X42" s="100"/>
      <c r="Y42" s="100"/>
      <c r="Z42" s="100"/>
      <c r="AA42" s="100"/>
      <c r="AB42" s="100"/>
      <c r="AC42" s="100"/>
      <c r="AD42" s="100"/>
      <c r="AE42" s="100"/>
    </row>
    <row r="43" spans="1:31" ht="120" x14ac:dyDescent="0.2">
      <c r="A43" s="102" t="s">
        <v>271</v>
      </c>
      <c r="B43" s="101">
        <v>2305</v>
      </c>
      <c r="C43" s="75"/>
      <c r="D43" s="75"/>
      <c r="E43" s="75"/>
      <c r="F43" s="75"/>
      <c r="G43" s="76"/>
      <c r="H43" s="76"/>
      <c r="I43" s="75"/>
      <c r="J43" s="76"/>
      <c r="K43" s="85"/>
      <c r="L43" s="77"/>
      <c r="M43" s="77"/>
      <c r="N43" s="100"/>
      <c r="O43" s="100"/>
      <c r="P43" s="100"/>
      <c r="Q43" s="100"/>
      <c r="R43" s="100"/>
      <c r="S43" s="100"/>
      <c r="T43" s="100"/>
      <c r="U43" s="100"/>
      <c r="V43" s="100"/>
      <c r="W43" s="100"/>
      <c r="X43" s="100"/>
      <c r="Y43" s="100"/>
      <c r="Z43" s="100"/>
      <c r="AA43" s="100"/>
      <c r="AB43" s="100"/>
      <c r="AC43" s="100"/>
      <c r="AD43" s="100"/>
      <c r="AE43" s="100"/>
    </row>
    <row r="44" spans="1:31" ht="51.75" customHeight="1" x14ac:dyDescent="0.2">
      <c r="A44" s="102" t="s">
        <v>269</v>
      </c>
      <c r="B44" s="101">
        <v>2311</v>
      </c>
      <c r="C44" s="75"/>
      <c r="D44" s="75"/>
      <c r="E44" s="75"/>
      <c r="F44" s="75"/>
      <c r="G44" s="76"/>
      <c r="H44" s="76"/>
      <c r="I44" s="75"/>
      <c r="J44" s="76"/>
      <c r="K44" s="85"/>
      <c r="L44" s="103" t="s">
        <v>266</v>
      </c>
      <c r="M44" s="103" t="s">
        <v>265</v>
      </c>
      <c r="N44" s="100"/>
      <c r="O44" s="100"/>
      <c r="P44" s="100"/>
      <c r="Q44" s="100"/>
      <c r="R44" s="100"/>
      <c r="S44" s="100"/>
      <c r="T44" s="100"/>
      <c r="U44" s="100"/>
      <c r="V44" s="100"/>
      <c r="W44" s="100"/>
      <c r="X44" s="100"/>
      <c r="Y44" s="100"/>
      <c r="Z44" s="100"/>
      <c r="AA44" s="100"/>
      <c r="AB44" s="100"/>
      <c r="AC44" s="100"/>
      <c r="AD44" s="100"/>
      <c r="AE44" s="100"/>
    </row>
    <row r="45" spans="1:31" ht="51.75" customHeight="1" x14ac:dyDescent="0.2">
      <c r="A45" s="121" t="s">
        <v>307</v>
      </c>
      <c r="B45" s="121" t="s">
        <v>308</v>
      </c>
      <c r="C45" s="75"/>
      <c r="D45" s="75"/>
      <c r="E45" s="75"/>
      <c r="F45" s="75"/>
      <c r="G45" s="76"/>
      <c r="H45" s="76"/>
      <c r="I45" s="75"/>
      <c r="J45" s="76"/>
      <c r="K45" s="85"/>
      <c r="L45" s="103"/>
      <c r="M45" s="103"/>
      <c r="N45" s="100"/>
      <c r="O45" s="100"/>
      <c r="P45" s="100"/>
      <c r="Q45" s="100"/>
      <c r="R45" s="100"/>
      <c r="S45" s="100"/>
      <c r="T45" s="100"/>
      <c r="U45" s="100"/>
      <c r="V45" s="100"/>
      <c r="W45" s="100"/>
      <c r="X45" s="100"/>
      <c r="Y45" s="100"/>
      <c r="Z45" s="100"/>
      <c r="AA45" s="100"/>
      <c r="AB45" s="100"/>
      <c r="AC45" s="100"/>
      <c r="AD45" s="100"/>
      <c r="AE45" s="100"/>
    </row>
    <row r="46" spans="1:31" ht="36" x14ac:dyDescent="0.2">
      <c r="A46" s="81" t="s">
        <v>262</v>
      </c>
      <c r="B46" s="80">
        <v>2400</v>
      </c>
      <c r="C46" s="66"/>
      <c r="D46" s="66"/>
      <c r="E46" s="66"/>
      <c r="F46" s="66"/>
      <c r="G46" s="67"/>
      <c r="H46" s="67"/>
      <c r="I46" s="66"/>
      <c r="J46" s="67"/>
      <c r="K46" s="71"/>
      <c r="L46" s="64"/>
      <c r="M46" s="64"/>
      <c r="N46" s="100"/>
      <c r="O46" s="100"/>
      <c r="P46" s="100"/>
      <c r="Q46" s="100"/>
      <c r="R46" s="100"/>
      <c r="S46" s="100"/>
      <c r="T46" s="100"/>
      <c r="U46" s="100"/>
      <c r="V46" s="100"/>
      <c r="W46" s="100"/>
      <c r="X46" s="100"/>
      <c r="Y46" s="100"/>
      <c r="Z46" s="100"/>
      <c r="AA46" s="100"/>
      <c r="AB46" s="100"/>
      <c r="AC46" s="82"/>
      <c r="AD46" s="82"/>
      <c r="AE46" s="100"/>
    </row>
    <row r="47" spans="1:31" x14ac:dyDescent="0.2">
      <c r="A47" s="9" t="s">
        <v>0</v>
      </c>
      <c r="B47" s="14">
        <v>8000</v>
      </c>
      <c r="C47" s="19" t="s">
        <v>10</v>
      </c>
      <c r="D47" s="20" t="s">
        <v>10</v>
      </c>
      <c r="E47" s="20" t="s">
        <v>10</v>
      </c>
      <c r="F47" s="19" t="s">
        <v>10</v>
      </c>
      <c r="G47" s="20" t="s">
        <v>10</v>
      </c>
      <c r="H47" s="20" t="s">
        <v>10</v>
      </c>
      <c r="I47" s="19" t="s">
        <v>10</v>
      </c>
      <c r="J47" s="20" t="s">
        <v>10</v>
      </c>
      <c r="K47" s="20" t="s">
        <v>10</v>
      </c>
      <c r="L47" s="13" t="s">
        <v>10</v>
      </c>
      <c r="M47" s="13" t="s">
        <v>10</v>
      </c>
      <c r="N47" s="78" t="e">
        <f>N8+#REF!+#REF!</f>
        <v>#REF!</v>
      </c>
      <c r="O47" s="78"/>
      <c r="P47" s="78"/>
      <c r="Q47" s="78" t="e">
        <f>Q8+#REF!+#REF!</f>
        <v>#REF!</v>
      </c>
      <c r="R47" s="78"/>
      <c r="S47" s="78"/>
      <c r="T47" s="78" t="e">
        <f>T8+#REF!+#REF!</f>
        <v>#REF!</v>
      </c>
      <c r="U47" s="78"/>
      <c r="V47" s="78"/>
      <c r="W47" s="78"/>
      <c r="X47" s="78" t="e">
        <f>X8+#REF!+#REF!</f>
        <v>#REF!</v>
      </c>
      <c r="Y47" s="78"/>
      <c r="Z47" s="78"/>
      <c r="AA47" s="78"/>
      <c r="AB47" s="78" t="e">
        <f>AB8+#REF!+#REF!</f>
        <v>#REF!</v>
      </c>
      <c r="AC47" s="12"/>
      <c r="AD47" s="12"/>
      <c r="AE47" s="78"/>
    </row>
    <row r="49" spans="1:5" x14ac:dyDescent="0.2">
      <c r="A49" s="216" t="s">
        <v>246</v>
      </c>
      <c r="B49" s="216"/>
      <c r="C49" s="216"/>
      <c r="D49" s="216"/>
      <c r="E49" s="216"/>
    </row>
    <row r="51" spans="1:5" x14ac:dyDescent="0.2">
      <c r="A51" t="s">
        <v>247</v>
      </c>
    </row>
  </sheetData>
  <mergeCells count="22">
    <mergeCell ref="T1:V1"/>
    <mergeCell ref="A1:H1"/>
    <mergeCell ref="A49:E49"/>
    <mergeCell ref="A3:H3"/>
    <mergeCell ref="A2:H2"/>
    <mergeCell ref="T2:V2"/>
    <mergeCell ref="A4:A6"/>
    <mergeCell ref="B4:B6"/>
    <mergeCell ref="N1:P1"/>
    <mergeCell ref="N2:P2"/>
    <mergeCell ref="Q1:S1"/>
    <mergeCell ref="Q2:S2"/>
    <mergeCell ref="N4:Q4"/>
    <mergeCell ref="N5:N6"/>
    <mergeCell ref="Q5:Q6"/>
    <mergeCell ref="X4:AB5"/>
    <mergeCell ref="C4:I4"/>
    <mergeCell ref="L4:M5"/>
    <mergeCell ref="C5:E5"/>
    <mergeCell ref="F5:H5"/>
    <mergeCell ref="I5:K5"/>
    <mergeCell ref="T4:T6"/>
  </mergeCells>
  <pageMargins left="0.31496062992125984" right="0.31496062992125984" top="0.19685039370078741" bottom="0.19685039370078741" header="0.19685039370078741" footer="0"/>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8"/>
  <sheetViews>
    <sheetView view="pageBreakPreview" topLeftCell="A13" zoomScale="80" zoomScaleNormal="90" zoomScaleSheetLayoutView="80" workbookViewId="0">
      <selection activeCell="B3" sqref="B3:B4"/>
    </sheetView>
  </sheetViews>
  <sheetFormatPr defaultRowHeight="12.75" x14ac:dyDescent="0.2"/>
  <cols>
    <col min="1" max="1" width="66.85546875" customWidth="1"/>
    <col min="2" max="2" width="80.140625" customWidth="1"/>
  </cols>
  <sheetData>
    <row r="1" spans="1:2" ht="30" x14ac:dyDescent="0.2">
      <c r="A1" s="123" t="s">
        <v>373</v>
      </c>
      <c r="B1" s="123" t="s">
        <v>374</v>
      </c>
    </row>
    <row r="2" spans="1:2" ht="14.25" x14ac:dyDescent="0.2">
      <c r="A2" s="123" t="s">
        <v>375</v>
      </c>
      <c r="B2" s="123"/>
    </row>
    <row r="3" spans="1:2" ht="45" x14ac:dyDescent="0.2">
      <c r="A3" s="124" t="s">
        <v>376</v>
      </c>
      <c r="B3" s="229" t="s">
        <v>462</v>
      </c>
    </row>
    <row r="4" spans="1:2" ht="75" x14ac:dyDescent="0.2">
      <c r="A4" s="124" t="s">
        <v>377</v>
      </c>
      <c r="B4" s="231"/>
    </row>
    <row r="5" spans="1:2" ht="45" x14ac:dyDescent="0.2">
      <c r="A5" s="124" t="s">
        <v>378</v>
      </c>
      <c r="B5" s="124" t="s">
        <v>379</v>
      </c>
    </row>
    <row r="6" spans="1:2" ht="15" x14ac:dyDescent="0.2">
      <c r="A6" s="232" t="s">
        <v>380</v>
      </c>
      <c r="B6" s="124" t="s">
        <v>381</v>
      </c>
    </row>
    <row r="7" spans="1:2" ht="30" x14ac:dyDescent="0.2">
      <c r="A7" s="233"/>
      <c r="B7" s="124" t="s">
        <v>382</v>
      </c>
    </row>
    <row r="8" spans="1:2" ht="105" x14ac:dyDescent="0.2">
      <c r="A8" s="124" t="s">
        <v>383</v>
      </c>
      <c r="B8" s="125" t="s">
        <v>384</v>
      </c>
    </row>
    <row r="9" spans="1:2" ht="60" x14ac:dyDescent="0.2">
      <c r="A9" s="124" t="s">
        <v>385</v>
      </c>
      <c r="B9" s="124" t="s">
        <v>16</v>
      </c>
    </row>
    <row r="10" spans="1:2" ht="60" x14ac:dyDescent="0.2">
      <c r="A10" s="234" t="s">
        <v>386</v>
      </c>
      <c r="B10" s="124" t="s">
        <v>387</v>
      </c>
    </row>
    <row r="11" spans="1:2" ht="15" x14ac:dyDescent="0.2">
      <c r="A11" s="234"/>
      <c r="B11" s="124" t="s">
        <v>388</v>
      </c>
    </row>
    <row r="12" spans="1:2" ht="45" x14ac:dyDescent="0.2">
      <c r="A12" s="234"/>
      <c r="B12" s="124" t="s">
        <v>389</v>
      </c>
    </row>
    <row r="13" spans="1:2" ht="106.5" customHeight="1" x14ac:dyDescent="0.2">
      <c r="A13" s="234"/>
      <c r="B13" s="124" t="s">
        <v>390</v>
      </c>
    </row>
    <row r="14" spans="1:2" ht="30" x14ac:dyDescent="0.2">
      <c r="A14" s="124" t="s">
        <v>391</v>
      </c>
      <c r="B14" s="124" t="s">
        <v>17</v>
      </c>
    </row>
    <row r="15" spans="1:2" ht="255" x14ac:dyDescent="0.2">
      <c r="A15" s="124" t="s">
        <v>392</v>
      </c>
      <c r="B15" s="126"/>
    </row>
    <row r="16" spans="1:2" ht="60" x14ac:dyDescent="0.2">
      <c r="A16" s="235" t="s">
        <v>393</v>
      </c>
      <c r="B16" s="126" t="s">
        <v>394</v>
      </c>
    </row>
    <row r="17" spans="1:2" ht="45" x14ac:dyDescent="0.2">
      <c r="A17" s="236"/>
      <c r="B17" s="126" t="s">
        <v>395</v>
      </c>
    </row>
    <row r="18" spans="1:2" ht="30" x14ac:dyDescent="0.2">
      <c r="A18" s="236"/>
      <c r="B18" s="126" t="s">
        <v>396</v>
      </c>
    </row>
    <row r="19" spans="1:2" ht="45" x14ac:dyDescent="0.2">
      <c r="A19" s="237"/>
      <c r="B19" s="127" t="s">
        <v>397</v>
      </c>
    </row>
    <row r="20" spans="1:2" ht="45" x14ac:dyDescent="0.2">
      <c r="A20" s="128" t="s">
        <v>398</v>
      </c>
      <c r="B20" s="127" t="s">
        <v>399</v>
      </c>
    </row>
    <row r="21" spans="1:2" ht="45" x14ac:dyDescent="0.2">
      <c r="A21" s="128" t="s">
        <v>400</v>
      </c>
      <c r="B21" s="125"/>
    </row>
    <row r="22" spans="1:2" ht="75" x14ac:dyDescent="0.2">
      <c r="A22" s="238" t="s">
        <v>401</v>
      </c>
      <c r="B22" s="124" t="s">
        <v>402</v>
      </c>
    </row>
    <row r="23" spans="1:2" ht="30.75" x14ac:dyDescent="0.2">
      <c r="A23" s="238"/>
      <c r="B23" s="124" t="s">
        <v>403</v>
      </c>
    </row>
    <row r="24" spans="1:2" ht="45" x14ac:dyDescent="0.2">
      <c r="A24" s="238"/>
      <c r="B24" s="124" t="s">
        <v>404</v>
      </c>
    </row>
    <row r="25" spans="1:2" ht="60" x14ac:dyDescent="0.2">
      <c r="A25" s="238"/>
      <c r="B25" s="124" t="s">
        <v>405</v>
      </c>
    </row>
    <row r="26" spans="1:2" ht="45" x14ac:dyDescent="0.2">
      <c r="A26" s="229" t="s">
        <v>406</v>
      </c>
      <c r="B26" s="125" t="s">
        <v>407</v>
      </c>
    </row>
    <row r="27" spans="1:2" ht="60" x14ac:dyDescent="0.2">
      <c r="A27" s="230"/>
      <c r="B27" s="125" t="s">
        <v>408</v>
      </c>
    </row>
    <row r="28" spans="1:2" ht="45" x14ac:dyDescent="0.2">
      <c r="A28" s="230"/>
      <c r="B28" s="125" t="s">
        <v>409</v>
      </c>
    </row>
    <row r="29" spans="1:2" ht="45" x14ac:dyDescent="0.2">
      <c r="A29" s="230"/>
      <c r="B29" s="125" t="s">
        <v>410</v>
      </c>
    </row>
    <row r="30" spans="1:2" ht="15" x14ac:dyDescent="0.2">
      <c r="A30" s="129"/>
      <c r="B30" s="130"/>
    </row>
    <row r="31" spans="1:2" ht="15" x14ac:dyDescent="0.2">
      <c r="A31" s="129"/>
      <c r="B31" s="130"/>
    </row>
    <row r="32" spans="1:2" ht="15" x14ac:dyDescent="0.2">
      <c r="A32" s="129"/>
      <c r="B32" s="130"/>
    </row>
    <row r="33" spans="1:2" ht="28.5" x14ac:dyDescent="0.2">
      <c r="A33" s="131" t="s">
        <v>411</v>
      </c>
      <c r="B33" s="132" t="s">
        <v>374</v>
      </c>
    </row>
    <row r="34" spans="1:2" ht="60" x14ac:dyDescent="0.2">
      <c r="A34" s="125" t="s">
        <v>412</v>
      </c>
      <c r="B34" s="133" t="s">
        <v>413</v>
      </c>
    </row>
    <row r="35" spans="1:2" ht="105" x14ac:dyDescent="0.2">
      <c r="A35" s="125" t="s">
        <v>414</v>
      </c>
      <c r="B35" s="124" t="s">
        <v>415</v>
      </c>
    </row>
    <row r="36" spans="1:2" ht="180" x14ac:dyDescent="0.2">
      <c r="A36" s="124" t="s">
        <v>416</v>
      </c>
      <c r="B36" s="125" t="s">
        <v>417</v>
      </c>
    </row>
    <row r="37" spans="1:2" ht="150" x14ac:dyDescent="0.2">
      <c r="A37" s="125" t="s">
        <v>15</v>
      </c>
      <c r="B37" s="125" t="s">
        <v>418</v>
      </c>
    </row>
    <row r="38" spans="1:2" ht="75" x14ac:dyDescent="0.2">
      <c r="A38" s="134" t="s">
        <v>419</v>
      </c>
      <c r="B38" s="134" t="s">
        <v>420</v>
      </c>
    </row>
  </sheetData>
  <mergeCells count="6">
    <mergeCell ref="A26:A29"/>
    <mergeCell ref="B3:B4"/>
    <mergeCell ref="A6:A7"/>
    <mergeCell ref="A10:A13"/>
    <mergeCell ref="A16:A19"/>
    <mergeCell ref="A22:A25"/>
  </mergeCells>
  <pageMargins left="0" right="0" top="0" bottom="0" header="0.31496062992125984" footer="0.31496062992125984"/>
  <pageSetup paperSize="9" scale="37"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14</vt:i4>
      </vt:variant>
    </vt:vector>
  </HeadingPairs>
  <TitlesOfParts>
    <vt:vector size="22" baseType="lpstr">
      <vt:lpstr>СВОД</vt:lpstr>
      <vt:lpstr>АДМИНИСТРАЦИЯ</vt:lpstr>
      <vt:lpstr>ОТДЕЛ ОБРАЗОВАНИЯ</vt:lpstr>
      <vt:lpstr>ОТДЕЛ КУЛЬТУРЫ</vt:lpstr>
      <vt:lpstr>Дума</vt:lpstr>
      <vt:lpstr>КСП</vt:lpstr>
      <vt:lpstr>ФУ</vt:lpstr>
      <vt:lpstr>Соответствие РОМСУ</vt:lpstr>
      <vt:lpstr>АДМИНИСТРАЦИЯ!Заголовки_для_печати</vt:lpstr>
      <vt:lpstr>Дума!Заголовки_для_печати</vt:lpstr>
      <vt:lpstr>КСП!Заголовки_для_печати</vt:lpstr>
      <vt:lpstr>'ОТДЕЛ КУЛЬТУРЫ'!Заголовки_для_печати</vt:lpstr>
      <vt:lpstr>'ОТДЕЛ ОБРАЗОВАНИЯ'!Заголовки_для_печати</vt:lpstr>
      <vt:lpstr>СВОД!Заголовки_для_печати</vt:lpstr>
      <vt:lpstr>ФУ!Заголовки_для_печати</vt:lpstr>
      <vt:lpstr>АДМИНИСТРАЦИЯ!Область_печати</vt:lpstr>
      <vt:lpstr>Дума!Область_печати</vt:lpstr>
      <vt:lpstr>КСП!Область_печати</vt:lpstr>
      <vt:lpstr>'ОТДЕЛ КУЛЬТУРЫ'!Область_печати</vt:lpstr>
      <vt:lpstr>'ОТДЕЛ ОБРАЗОВАНИЯ'!Область_печати</vt:lpstr>
      <vt:lpstr>СВОД!Область_печати</vt:lpstr>
      <vt:lpstr>ФУ!Область_печати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user</cp:lastModifiedBy>
  <cp:lastPrinted>2020-09-23T09:30:01Z</cp:lastPrinted>
  <dcterms:created xsi:type="dcterms:W3CDTF">2014-06-02T07:27:05Z</dcterms:created>
  <dcterms:modified xsi:type="dcterms:W3CDTF">2023-03-30T09:58:24Z</dcterms:modified>
</cp:coreProperties>
</file>